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920" activeTab="3"/>
  </bookViews>
  <sheets>
    <sheet name="Свод 1" sheetId="1" r:id="rId1"/>
    <sheet name="Приложение 1.1" sheetId="2" r:id="rId2"/>
    <sheet name="Свод 4" sheetId="3" r:id="rId3"/>
    <sheet name="Приложение 2.1." sheetId="4" r:id="rId4"/>
  </sheets>
  <definedNames/>
  <calcPr fullCalcOnLoad="1"/>
</workbook>
</file>

<file path=xl/sharedStrings.xml><?xml version="1.0" encoding="utf-8"?>
<sst xmlns="http://schemas.openxmlformats.org/spreadsheetml/2006/main" count="409" uniqueCount="141">
  <si>
    <t>ГБУЗ РКБ МЗ РСО-А</t>
  </si>
  <si>
    <t>Неотложная помощь в медорганизации (дети)</t>
  </si>
  <si>
    <t>Обращения по заболеванию (дети)</t>
  </si>
  <si>
    <t>Разовые посещения по заболеванию (дети)</t>
  </si>
  <si>
    <t>Неотложная помощь ВНЕ медорганизации (дети)</t>
  </si>
  <si>
    <t>Посещения с профилактической целью (дети)</t>
  </si>
  <si>
    <t>ПрофилОсмотрНЕСОВ</t>
  </si>
  <si>
    <t>ГБУЗ Ардонская ЦРБ</t>
  </si>
  <si>
    <t>ГБУЗ  ИРАФСКАЯ ЦРБ</t>
  </si>
  <si>
    <t>ГБУЗ "ДИГОРСКАЯ ЦРБ"</t>
  </si>
  <si>
    <t>ГБУЗ РОДИЛЬНЫЙ ДОМ №2</t>
  </si>
  <si>
    <t>Гемодиализ  (АПП)</t>
  </si>
  <si>
    <t>ГБУЗ ДЕТСКАЯ ПОЛИКЛИНИКА № 4</t>
  </si>
  <si>
    <t>ООО "АЛАНИЯ ХЕЛСКЕА"</t>
  </si>
  <si>
    <t>Количество</t>
  </si>
  <si>
    <t>РГС</t>
  </si>
  <si>
    <t>ВТБ</t>
  </si>
  <si>
    <t>Всего</t>
  </si>
  <si>
    <t>Профиль</t>
  </si>
  <si>
    <t>011-Гастроэнтерология</t>
  </si>
  <si>
    <t>029-Кардиология</t>
  </si>
  <si>
    <t>030-Колопроктология</t>
  </si>
  <si>
    <t>053-Неврология</t>
  </si>
  <si>
    <t>054-Нейрохирургия</t>
  </si>
  <si>
    <t>056-Нефрология</t>
  </si>
  <si>
    <t>068-Педиатрия</t>
  </si>
  <si>
    <t>075-Пульмонология</t>
  </si>
  <si>
    <t>108-Урология</t>
  </si>
  <si>
    <t>112-Хирургия</t>
  </si>
  <si>
    <t>116-Челюстно-лицевая хирургия</t>
  </si>
  <si>
    <t>127-Паталогия беременных</t>
  </si>
  <si>
    <t>128-Для беременных и рожениц</t>
  </si>
  <si>
    <t>130-Травматология</t>
  </si>
  <si>
    <t>133-Сосудистой хирургии</t>
  </si>
  <si>
    <t>136-Акушерство и гинекология (не патология, не роды)</t>
  </si>
  <si>
    <t>162-Оториноларингология (без кохлиарной)</t>
  </si>
  <si>
    <t>004-Аллергология и иммунология</t>
  </si>
  <si>
    <t>012-Гематология</t>
  </si>
  <si>
    <t>017-Детская кардиология</t>
  </si>
  <si>
    <t>018-Детская онкология</t>
  </si>
  <si>
    <t>019-Детская урология-андрология</t>
  </si>
  <si>
    <t>020-Детская хирургия</t>
  </si>
  <si>
    <t>021-Детская эндокринология</t>
  </si>
  <si>
    <t>028-Инфекционные болезни</t>
  </si>
  <si>
    <t>055-Неонатология</t>
  </si>
  <si>
    <t>065-Офтальмология</t>
  </si>
  <si>
    <t>077-Ревматология</t>
  </si>
  <si>
    <t>131-Ортопедия</t>
  </si>
  <si>
    <t>761-Медицинская ОБЩАЯреабилитация</t>
  </si>
  <si>
    <t>097-Терапия</t>
  </si>
  <si>
    <t>114-Хирургия (комбустиология)</t>
  </si>
  <si>
    <t>122-Эндокринология</t>
  </si>
  <si>
    <t>016-Дерматология</t>
  </si>
  <si>
    <t>060-Онкология</t>
  </si>
  <si>
    <t>758-Медицинская НЕЙРОреабилитация</t>
  </si>
  <si>
    <t>759-Медицинская КАРДИОреабилитация</t>
  </si>
  <si>
    <t>081-Сердечно-сосудистая хирургия (кардиохирургия)</t>
  </si>
  <si>
    <t>760-Медицинская ТРАВМОреабилитация</t>
  </si>
  <si>
    <t xml:space="preserve"> Профиль</t>
  </si>
  <si>
    <t>Профилактические осмотры несовершеннолетних 1 месяц Ж</t>
  </si>
  <si>
    <t>Профилактические осмотры несовершеннолетних 1 месяц М</t>
  </si>
  <si>
    <t>Профилактические осмотры несовершеннолетних 2 месяца Ж</t>
  </si>
  <si>
    <t>Профилактические осмотры несовершеннолетних 2 месяца М</t>
  </si>
  <si>
    <t>Профилактические осмотры несовершеннолетних 3 месяца Ж</t>
  </si>
  <si>
    <t>Профилактические осмотры несовершеннолетних 3 месяца М</t>
  </si>
  <si>
    <t>Профилактические осмотры несовершеннолетних 4 месяца Ж</t>
  </si>
  <si>
    <t>Профилактические осмотры несовершеннолетних 4 месяца М</t>
  </si>
  <si>
    <t>Профилактические осмотры несовершеннолетних Новорожденные Ж</t>
  </si>
  <si>
    <t>Профилактические осмотры несовершеннолетних Новорожденные М</t>
  </si>
  <si>
    <t>056-Нефрология (Диализ АПП)</t>
  </si>
  <si>
    <t>Вид</t>
  </si>
  <si>
    <t>Профилактические осмотры несовершеннолетних</t>
  </si>
  <si>
    <t>Осмотры детей сирот</t>
  </si>
  <si>
    <t>ВСЕГО</t>
  </si>
  <si>
    <t>Сумма (рубли)</t>
  </si>
  <si>
    <t>Количество                         (случаи)</t>
  </si>
  <si>
    <t>Сумма                                                                        (рубли)</t>
  </si>
  <si>
    <t>Количество (случаи)</t>
  </si>
  <si>
    <t>Стационарная помощь без ВМП по профилю (свод)</t>
  </si>
  <si>
    <t xml:space="preserve">Наименование   МО </t>
  </si>
  <si>
    <t>Код                         МО</t>
  </si>
  <si>
    <t>Наименование МО</t>
  </si>
  <si>
    <t>АПП по профилю и виду (свод)</t>
  </si>
  <si>
    <t>х</t>
  </si>
  <si>
    <t xml:space="preserve">Код МО </t>
  </si>
  <si>
    <t>Вид МП</t>
  </si>
  <si>
    <t>Итого изменения по ООО "АЛАНИЯ ХЕЛСКЕА"</t>
  </si>
  <si>
    <t>Уточненный план по ООО "АЛАНИЯ ХЕЛСКЕА" от 13.07.2018г.,                      в том числе:</t>
  </si>
  <si>
    <t xml:space="preserve">  </t>
  </si>
  <si>
    <t>Утвержденный  план по ООО "АЛАНИЯ ХЕЛСКЕА"на 28.04.2018 г. в том числе:</t>
  </si>
  <si>
    <t xml:space="preserve"> ВСЕГО  утверждено по всем МО  на  27.06.2018г.</t>
  </si>
  <si>
    <t>ВСЕГО уточненный план по всем МО с уч. изм. от 13.07.2018г.</t>
  </si>
  <si>
    <t>Профилактические осмотры несовершеннолетних 5 месяцев Ж</t>
  </si>
  <si>
    <t>Профилактические осмотры несовершеннолетних 5 месяцев М</t>
  </si>
  <si>
    <t>Профилактические осмотры несовершеннолетних 6 месяцев Ж</t>
  </si>
  <si>
    <t>Профилактические осмотры несовершеннолетних 6 месяцев М</t>
  </si>
  <si>
    <t>Профилактические осмотры несовершеннолетних 7 месяцев Ж</t>
  </si>
  <si>
    <t>Профилактические осмотры несовершеннолетних 7 месяцев М</t>
  </si>
  <si>
    <t>Профилактические осмотры несовершеннолетних 8 месяцев Ж</t>
  </si>
  <si>
    <t>Профилактические осмотры несовершеннолетних 8 месяцев М</t>
  </si>
  <si>
    <t>Профилактические осмотры несовершеннолетних 9 месяцев Ж</t>
  </si>
  <si>
    <t>Профилактические осмотры несовершеннолетних 9 месяцев М</t>
  </si>
  <si>
    <t>Профилактические осмотры несовершеннолетних 10месяцев Ж</t>
  </si>
  <si>
    <t>Профилактические осмотры несовершеннолетних 10месяцев М</t>
  </si>
  <si>
    <t>Профилактические осмотры несовершеннолетних 11 месяцев Ж</t>
  </si>
  <si>
    <t>Профилактические осмотры несовершеннолетних 11 месяцев М</t>
  </si>
  <si>
    <t xml:space="preserve">Итого изменения по ГБУЗ ДЕТСКАЯ ПОЛИКЛИНИКА № 4 </t>
  </si>
  <si>
    <t>Утвержденный  план по ГБУЗ ДЕТСКАЯ ПОЛИКЛИНИКА № 4                                  на 28.04.2018 г. в том числе:</t>
  </si>
  <si>
    <t>Уточненный план по  ГБУЗ ДЕТСКАЯ ПОЛИКЛИНИКА № 4  от 28.04.2018г., в том числе:</t>
  </si>
  <si>
    <t>Приложение № 2.1.к Протоколу №11 заседания комиссии от 13.07.2018</t>
  </si>
  <si>
    <t>Изменения в приложении 4.1 к протоколу от 28.04.2018     "АПП по профилю и виду (свод)"</t>
  </si>
  <si>
    <t>Изменения в приложении 1.1 к протоколу от 28.04.2018   "Стационарная помощь (без ВМП) по МО"</t>
  </si>
  <si>
    <t>Утвержденный  план по ГБУЗ РКБ МЗ РСО-А                                                     на 28.04.2018 г. в том числе:</t>
  </si>
  <si>
    <t xml:space="preserve"> Уточненный план по  ГБУЗ РКБ МЗ РСО-А от 13.07.2018г., в том числе:</t>
  </si>
  <si>
    <t>Итого изменения по ГБУЗ РКБ МЗ РСО-А</t>
  </si>
  <si>
    <t>Итого изменения по ГБУЗ РОДИЛЬНЫЙ ДОМ №2</t>
  </si>
  <si>
    <t>Утвержденный  план по ГБУЗ РОДИЛЬНЫЙ ДОМ №2                                                на 28.04.2018 г. в том числе:</t>
  </si>
  <si>
    <t xml:space="preserve"> Уточненный план по ГБУЗ РОДИЛЬНЫЙ ДОМ №2 от 13.07.2018г., в том числе:</t>
  </si>
  <si>
    <t>Итого изменения по ГБУЗ Ардонская ЦРБ</t>
  </si>
  <si>
    <t>Утвержденный  план по ГБУЗ Ардонская ЦРБ                                               на 28.04.2018 г. в том числе:</t>
  </si>
  <si>
    <t xml:space="preserve"> Уточненный план по ГБУЗ Ардонская ЦРБ от 13.07.2018г., в том числе:</t>
  </si>
  <si>
    <t>Итого изменения по ГБУЗ "ДИГОРСКАЯ ЦРБ"</t>
  </si>
  <si>
    <t>Утвержденный  план по ГБУЗ "ДИГОРСКАЯ ЦРБ"                                          на 28.04.2018 г. в том числе:</t>
  </si>
  <si>
    <t xml:space="preserve"> Уточненный план по ГБУЗ "ДИГОРСКАЯ ЦРБ" от 13.07.2018г.,                   в том числе:</t>
  </si>
  <si>
    <t>Итого изменения по ГБУЗ  ИРАФСКАЯ ЦРБ</t>
  </si>
  <si>
    <t>Утвержденный  план по ГБУЗ  ИРАФСКАЯ ЦРБ                                                          на 28.04.2018 г. в том числе:</t>
  </si>
  <si>
    <t xml:space="preserve"> Уточненный план по ГБУЗ  "ИРАФСКАЯ ЦРБ" от 13.07.2018г.,                   в том числе:</t>
  </si>
  <si>
    <t>ГБУЗ Алагирская  ЦРБ</t>
  </si>
  <si>
    <t>Итого изменения по ГБУЗ Алагирская  ЦРБ</t>
  </si>
  <si>
    <t>Утвержденный  план по ГБУЗ Алагирская  ЦРБ                                                            на 28.04.2018 г. в том числе:</t>
  </si>
  <si>
    <t xml:space="preserve"> Уточненный план по  ГБУЗ Алагирская  ЦРБ от 13.07.2018г.,                  в том числе:</t>
  </si>
  <si>
    <t xml:space="preserve"> ВСЕГО  утверждено по всем МО  на 28.05.2018г.</t>
  </si>
  <si>
    <t>Приложение № 2 к Протоколу №11 заседания комиссии от 13.07.2018</t>
  </si>
  <si>
    <t>Приложение №1 к Протоколу №11 заседания комиссии от 13.07.2018</t>
  </si>
  <si>
    <t>Приложение №1.1. к Протоколу №11 заседания комиссии от 13.07.2018</t>
  </si>
  <si>
    <t>ИТОГО изменения</t>
  </si>
  <si>
    <t xml:space="preserve"> ВСЕГО  утверждено по всем МО  на 28.04.2018г.</t>
  </si>
  <si>
    <t>Итого изменения по ООО" Медторгсервис"</t>
  </si>
  <si>
    <t>Утвержденный  план по  ООО "Медторгсервис"на 28.04.2018 г. в том числе:</t>
  </si>
  <si>
    <t>Уточненный план по  ООО" Медторгсервис" от 13.07.2018г.,                                       в том числе:</t>
  </si>
  <si>
    <t>Северо-Осетинский филиал ООО" Медторгсервис"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</si>
</sst>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_р_."/>
    <numFmt numFmtId="174" formatCode="#,##0.00\ _₽"/>
    <numFmt numFmtId="175" formatCode="#,##0.00_ ;\-#,##0.00\ "/>
    <numFmt numFmtId="176" formatCode="#,##0.00_ ;[Red]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7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sz val="11.5"/>
      <color indexed="8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172" fontId="2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10" xfId="0" applyFont="1" applyBorder="1" applyAlignment="1">
      <alignment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 wrapText="1"/>
    </xf>
    <xf numFmtId="0" fontId="12" fillId="33" borderId="10" xfId="0" applyFont="1" applyFill="1" applyBorder="1" applyAlignment="1">
      <alignment horizontal="center" vertical="center" wrapText="1"/>
    </xf>
    <xf numFmtId="172" fontId="2" fillId="33" borderId="0" xfId="0" applyNumberFormat="1" applyFont="1" applyFill="1" applyAlignment="1">
      <alignment horizontal="center" vertical="top" wrapText="1"/>
    </xf>
    <xf numFmtId="4" fontId="2" fillId="33" borderId="0" xfId="0" applyNumberFormat="1" applyFont="1" applyFill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172" fontId="10" fillId="33" borderId="10" xfId="0" applyNumberFormat="1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top" wrapText="1"/>
    </xf>
    <xf numFmtId="0" fontId="10" fillId="33" borderId="0" xfId="0" applyFont="1" applyFill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4" fontId="2" fillId="33" borderId="0" xfId="0" applyNumberFormat="1" applyFont="1" applyFill="1" applyAlignment="1">
      <alignment vertical="top" wrapText="1"/>
    </xf>
    <xf numFmtId="172" fontId="11" fillId="33" borderId="10" xfId="0" applyNumberFormat="1" applyFont="1" applyFill="1" applyBorder="1" applyAlignment="1">
      <alignment horizontal="center" vertical="top" wrapText="1"/>
    </xf>
    <xf numFmtId="174" fontId="11" fillId="33" borderId="10" xfId="0" applyNumberFormat="1" applyFont="1" applyFill="1" applyBorder="1" applyAlignment="1">
      <alignment horizontal="center" vertical="top" wrapText="1"/>
    </xf>
    <xf numFmtId="174" fontId="2" fillId="33" borderId="10" xfId="0" applyNumberFormat="1" applyFont="1" applyFill="1" applyBorder="1" applyAlignment="1">
      <alignment horizontal="center" vertical="top" wrapText="1"/>
    </xf>
    <xf numFmtId="43" fontId="2" fillId="33" borderId="10" xfId="0" applyNumberFormat="1" applyFont="1" applyFill="1" applyBorder="1" applyAlignment="1">
      <alignment horizontal="center" vertical="top" wrapText="1"/>
    </xf>
    <xf numFmtId="175" fontId="2" fillId="33" borderId="10" xfId="0" applyNumberFormat="1" applyFont="1" applyFill="1" applyBorder="1" applyAlignment="1">
      <alignment horizontal="center" vertical="top"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172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172" fontId="15" fillId="33" borderId="10" xfId="0" applyNumberFormat="1" applyFont="1" applyFill="1" applyBorder="1" applyAlignment="1">
      <alignment horizontal="center" vertical="top" wrapText="1"/>
    </xf>
    <xf numFmtId="4" fontId="15" fillId="33" borderId="10" xfId="0" applyNumberFormat="1" applyFont="1" applyFill="1" applyBorder="1" applyAlignment="1">
      <alignment horizontal="center" vertical="top" wrapText="1"/>
    </xf>
    <xf numFmtId="3" fontId="10" fillId="33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right" vertical="top" wrapText="1"/>
    </xf>
    <xf numFmtId="174" fontId="3" fillId="33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3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0" fontId="12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33" borderId="15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E47" sqref="E47"/>
    </sheetView>
  </sheetViews>
  <sheetFormatPr defaultColWidth="9.140625" defaultRowHeight="15"/>
  <cols>
    <col min="1" max="1" width="40.421875" style="16" customWidth="1"/>
    <col min="2" max="3" width="8.57421875" style="40" customWidth="1"/>
    <col min="4" max="4" width="10.00390625" style="40" customWidth="1"/>
    <col min="5" max="5" width="15.8515625" style="62" customWidth="1"/>
    <col min="6" max="6" width="15.140625" style="62" customWidth="1"/>
    <col min="7" max="7" width="16.8515625" style="62" customWidth="1"/>
    <col min="8" max="16384" width="9.140625" style="16" customWidth="1"/>
  </cols>
  <sheetData>
    <row r="1" spans="6:7" ht="48" customHeight="1">
      <c r="F1" s="78" t="s">
        <v>133</v>
      </c>
      <c r="G1" s="78"/>
    </row>
    <row r="3" spans="1:7" ht="27" customHeight="1">
      <c r="A3" s="79" t="s">
        <v>78</v>
      </c>
      <c r="B3" s="79"/>
      <c r="C3" s="79"/>
      <c r="D3" s="79"/>
      <c r="E3" s="79"/>
      <c r="F3" s="79"/>
      <c r="G3" s="79"/>
    </row>
    <row r="5" ht="2.25" customHeight="1"/>
    <row r="6" spans="1:7" ht="39.75" customHeight="1">
      <c r="A6" s="80" t="s">
        <v>18</v>
      </c>
      <c r="B6" s="76" t="s">
        <v>75</v>
      </c>
      <c r="C6" s="76"/>
      <c r="D6" s="76"/>
      <c r="E6" s="77" t="s">
        <v>76</v>
      </c>
      <c r="F6" s="77"/>
      <c r="G6" s="77"/>
    </row>
    <row r="7" spans="1:7" ht="33" customHeight="1">
      <c r="A7" s="81"/>
      <c r="B7" s="67" t="s">
        <v>15</v>
      </c>
      <c r="C7" s="67" t="s">
        <v>16</v>
      </c>
      <c r="D7" s="67" t="s">
        <v>17</v>
      </c>
      <c r="E7" s="52" t="s">
        <v>15</v>
      </c>
      <c r="F7" s="52" t="s">
        <v>16</v>
      </c>
      <c r="G7" s="52" t="s">
        <v>17</v>
      </c>
    </row>
    <row r="8" spans="1:7" ht="15.75">
      <c r="A8" s="20" t="s">
        <v>36</v>
      </c>
      <c r="B8" s="21"/>
      <c r="C8" s="21"/>
      <c r="D8" s="21"/>
      <c r="E8" s="61"/>
      <c r="F8" s="61"/>
      <c r="G8" s="61"/>
    </row>
    <row r="9" spans="1:7" ht="15.75">
      <c r="A9" s="20" t="s">
        <v>19</v>
      </c>
      <c r="B9" s="21"/>
      <c r="C9" s="21"/>
      <c r="D9" s="21"/>
      <c r="E9" s="61"/>
      <c r="F9" s="61"/>
      <c r="G9" s="61"/>
    </row>
    <row r="10" spans="1:7" ht="15.75">
      <c r="A10" s="20" t="s">
        <v>37</v>
      </c>
      <c r="B10" s="21"/>
      <c r="C10" s="21"/>
      <c r="D10" s="21"/>
      <c r="E10" s="61"/>
      <c r="F10" s="61"/>
      <c r="G10" s="61"/>
    </row>
    <row r="11" spans="1:7" ht="15.75">
      <c r="A11" s="20" t="s">
        <v>52</v>
      </c>
      <c r="B11" s="21"/>
      <c r="C11" s="21"/>
      <c r="D11" s="21"/>
      <c r="E11" s="61"/>
      <c r="F11" s="61"/>
      <c r="G11" s="61"/>
    </row>
    <row r="12" spans="1:7" ht="15.75">
      <c r="A12" s="20" t="s">
        <v>38</v>
      </c>
      <c r="B12" s="21"/>
      <c r="C12" s="21"/>
      <c r="D12" s="21"/>
      <c r="E12" s="61"/>
      <c r="F12" s="61"/>
      <c r="G12" s="61"/>
    </row>
    <row r="13" spans="1:7" ht="15.75">
      <c r="A13" s="20" t="s">
        <v>39</v>
      </c>
      <c r="B13" s="21"/>
      <c r="C13" s="21"/>
      <c r="D13" s="21"/>
      <c r="E13" s="61"/>
      <c r="F13" s="61"/>
      <c r="G13" s="61"/>
    </row>
    <row r="14" spans="1:7" ht="15.75">
      <c r="A14" s="20" t="s">
        <v>40</v>
      </c>
      <c r="B14" s="21"/>
      <c r="C14" s="21"/>
      <c r="D14" s="21"/>
      <c r="E14" s="61"/>
      <c r="F14" s="61"/>
      <c r="G14" s="61"/>
    </row>
    <row r="15" spans="1:7" ht="15.75">
      <c r="A15" s="20" t="s">
        <v>41</v>
      </c>
      <c r="B15" s="21"/>
      <c r="C15" s="21"/>
      <c r="D15" s="21"/>
      <c r="E15" s="61"/>
      <c r="F15" s="61"/>
      <c r="G15" s="61"/>
    </row>
    <row r="16" spans="1:7" ht="15.75">
      <c r="A16" s="20" t="s">
        <v>42</v>
      </c>
      <c r="B16" s="21"/>
      <c r="C16" s="21"/>
      <c r="D16" s="21"/>
      <c r="E16" s="61"/>
      <c r="F16" s="61"/>
      <c r="G16" s="61"/>
    </row>
    <row r="17" spans="1:7" ht="15.75">
      <c r="A17" s="20" t="s">
        <v>43</v>
      </c>
      <c r="B17" s="21"/>
      <c r="C17" s="21"/>
      <c r="D17" s="21"/>
      <c r="E17" s="61"/>
      <c r="F17" s="61"/>
      <c r="G17" s="61"/>
    </row>
    <row r="18" spans="1:7" ht="15.75">
      <c r="A18" s="20" t="s">
        <v>20</v>
      </c>
      <c r="B18" s="21"/>
      <c r="C18" s="21"/>
      <c r="D18" s="21"/>
      <c r="E18" s="61"/>
      <c r="F18" s="61"/>
      <c r="G18" s="61"/>
    </row>
    <row r="19" spans="1:7" ht="15.75">
      <c r="A19" s="20" t="s">
        <v>21</v>
      </c>
      <c r="B19" s="21"/>
      <c r="C19" s="21"/>
      <c r="D19" s="21"/>
      <c r="E19" s="61"/>
      <c r="F19" s="61"/>
      <c r="G19" s="61"/>
    </row>
    <row r="20" spans="1:7" ht="15.75">
      <c r="A20" s="20" t="s">
        <v>22</v>
      </c>
      <c r="B20" s="21">
        <f>'Приложение 1.1'!D22+'Приложение 1.1'!D51+'Приложение 1.1'!D82+'Приложение 1.1'!D104</f>
        <v>-27</v>
      </c>
      <c r="C20" s="21">
        <f>'Приложение 1.1'!E22+'Приложение 1.1'!E51+'Приложение 1.1'!E82+'Приложение 1.1'!E104</f>
        <v>27</v>
      </c>
      <c r="D20" s="21">
        <f>'Приложение 1.1'!F22+'Приложение 1.1'!F51+'Приложение 1.1'!F82+'Приложение 1.1'!F104</f>
        <v>0</v>
      </c>
      <c r="E20" s="34">
        <f>'Приложение 1.1'!G22+'Приложение 1.1'!G51+'Приложение 1.1'!G82+'Приложение 1.1'!G104</f>
        <v>-1576532.4699999997</v>
      </c>
      <c r="F20" s="34">
        <f>'Приложение 1.1'!H22+'Приложение 1.1'!H51+'Приложение 1.1'!H82+'Приложение 1.1'!H104</f>
        <v>626542.11</v>
      </c>
      <c r="G20" s="34">
        <f>'Приложение 1.1'!I22+'Приложение 1.1'!I51+'Приложение 1.1'!I82+'Приложение 1.1'!I104</f>
        <v>-949990.3599999999</v>
      </c>
    </row>
    <row r="21" spans="1:7" ht="15.75">
      <c r="A21" s="20" t="s">
        <v>23</v>
      </c>
      <c r="B21" s="21"/>
      <c r="C21" s="21"/>
      <c r="D21" s="21"/>
      <c r="E21" s="34"/>
      <c r="F21" s="34"/>
      <c r="G21" s="34"/>
    </row>
    <row r="22" spans="1:7" ht="15.75">
      <c r="A22" s="20" t="s">
        <v>44</v>
      </c>
      <c r="B22" s="21"/>
      <c r="C22" s="21"/>
      <c r="D22" s="21"/>
      <c r="E22" s="34"/>
      <c r="F22" s="34"/>
      <c r="G22" s="34"/>
    </row>
    <row r="23" spans="1:7" ht="15.75">
      <c r="A23" s="20" t="s">
        <v>24</v>
      </c>
      <c r="B23" s="21"/>
      <c r="C23" s="21"/>
      <c r="D23" s="21"/>
      <c r="E23" s="34"/>
      <c r="F23" s="34"/>
      <c r="G23" s="34"/>
    </row>
    <row r="24" spans="1:7" ht="15.75">
      <c r="A24" s="20" t="s">
        <v>53</v>
      </c>
      <c r="B24" s="21"/>
      <c r="C24" s="21"/>
      <c r="D24" s="21"/>
      <c r="E24" s="34"/>
      <c r="F24" s="34"/>
      <c r="G24" s="34"/>
    </row>
    <row r="25" spans="1:7" ht="15.75">
      <c r="A25" s="20" t="s">
        <v>45</v>
      </c>
      <c r="B25" s="21"/>
      <c r="C25" s="21"/>
      <c r="D25" s="21"/>
      <c r="E25" s="34"/>
      <c r="F25" s="34"/>
      <c r="G25" s="34"/>
    </row>
    <row r="26" spans="1:7" ht="15.75">
      <c r="A26" s="20" t="s">
        <v>25</v>
      </c>
      <c r="B26" s="21">
        <f>'Приложение 1.1'!D23+'Приложение 1.1'!D52+'Приложение 1.1'!D83+'Приложение 1.1'!D105</f>
        <v>-34</v>
      </c>
      <c r="C26" s="21">
        <f>'Приложение 1.1'!E23+'Приложение 1.1'!E52+'Приложение 1.1'!E83+'Приложение 1.1'!E105</f>
        <v>34</v>
      </c>
      <c r="D26" s="21">
        <f>'Приложение 1.1'!F23+'Приложение 1.1'!F52+'Приложение 1.1'!F83+'Приложение 1.1'!F105</f>
        <v>0</v>
      </c>
      <c r="E26" s="34">
        <f>'Приложение 1.1'!G23+'Приложение 1.1'!G52+'Приложение 1.1'!G83+'Приложение 1.1'!G105</f>
        <v>-839834.5499999998</v>
      </c>
      <c r="F26" s="34">
        <f>'Приложение 1.1'!H23+'Приложение 1.1'!H52+'Приложение 1.1'!H83+'Приложение 1.1'!H105</f>
        <v>566264.26</v>
      </c>
      <c r="G26" s="34">
        <f>'Приложение 1.1'!I23+'Приложение 1.1'!I52+'Приложение 1.1'!I83+'Приложение 1.1'!I105</f>
        <v>-273570.2899999991</v>
      </c>
    </row>
    <row r="27" spans="1:7" ht="15.75">
      <c r="A27" s="20" t="s">
        <v>26</v>
      </c>
      <c r="B27" s="21"/>
      <c r="C27" s="21"/>
      <c r="D27" s="21"/>
      <c r="E27" s="34"/>
      <c r="F27" s="34"/>
      <c r="G27" s="34"/>
    </row>
    <row r="28" spans="1:7" ht="15.75">
      <c r="A28" s="20" t="s">
        <v>46</v>
      </c>
      <c r="B28" s="21"/>
      <c r="C28" s="21"/>
      <c r="D28" s="21"/>
      <c r="E28" s="34"/>
      <c r="F28" s="34"/>
      <c r="G28" s="34"/>
    </row>
    <row r="29" spans="1:7" ht="31.5">
      <c r="A29" s="20" t="s">
        <v>56</v>
      </c>
      <c r="B29" s="21"/>
      <c r="C29" s="21"/>
      <c r="D29" s="21"/>
      <c r="E29" s="34"/>
      <c r="F29" s="34"/>
      <c r="G29" s="34"/>
    </row>
    <row r="30" spans="1:7" ht="15.75">
      <c r="A30" s="20" t="s">
        <v>49</v>
      </c>
      <c r="B30" s="21">
        <f>'Приложение 1.1'!D24+'Приложение 1.1'!D53+'Приложение 1.1'!D84+'Приложение 1.1'!D106</f>
        <v>-60</v>
      </c>
      <c r="C30" s="21">
        <f>'Приложение 1.1'!E24+'Приложение 1.1'!E53+'Приложение 1.1'!E84+'Приложение 1.1'!E106</f>
        <v>60</v>
      </c>
      <c r="D30" s="21">
        <f>'Приложение 1.1'!F24+'Приложение 1.1'!F53+'Приложение 1.1'!F84+'Приложение 1.1'!F106</f>
        <v>0</v>
      </c>
      <c r="E30" s="34">
        <f>'Приложение 1.1'!G24+'Приложение 1.1'!G53+'Приложение 1.1'!G84+'Приложение 1.1'!G106</f>
        <v>-851302.1199999982</v>
      </c>
      <c r="F30" s="34">
        <f>'Приложение 1.1'!H24+'Приложение 1.1'!H53+'Приложение 1.1'!H84+'Приложение 1.1'!H106</f>
        <v>925714.6400000001</v>
      </c>
      <c r="G30" s="34">
        <f>'Приложение 1.1'!I24+'Приложение 1.1'!I53+'Приложение 1.1'!I84+'Приложение 1.1'!I106</f>
        <v>74412.52000000211</v>
      </c>
    </row>
    <row r="31" spans="1:7" ht="15.75">
      <c r="A31" s="20" t="s">
        <v>27</v>
      </c>
      <c r="B31" s="21"/>
      <c r="C31" s="21"/>
      <c r="D31" s="21"/>
      <c r="E31" s="34"/>
      <c r="F31" s="34"/>
      <c r="G31" s="34"/>
    </row>
    <row r="32" spans="1:7" ht="15.75">
      <c r="A32" s="20" t="s">
        <v>28</v>
      </c>
      <c r="B32" s="21">
        <f>'Приложение 1.1'!D25+'Приложение 1.1'!D54+'Приложение 1.1'!D85+'Приложение 1.1'!D107</f>
        <v>-30</v>
      </c>
      <c r="C32" s="21">
        <f>'Приложение 1.1'!E25+'Приложение 1.1'!E54+'Приложение 1.1'!E85+'Приложение 1.1'!E107</f>
        <v>30</v>
      </c>
      <c r="D32" s="21">
        <f>'Приложение 1.1'!F25+'Приложение 1.1'!F54+'Приложение 1.1'!F85+'Приложение 1.1'!F107</f>
        <v>0</v>
      </c>
      <c r="E32" s="34">
        <f>'Приложение 1.1'!G25+'Приложение 1.1'!G54+'Приложение 1.1'!G85+'Приложение 1.1'!G107</f>
        <v>-1026675.6200000001</v>
      </c>
      <c r="F32" s="34">
        <f>'Приложение 1.1'!H25+'Приложение 1.1'!H54+'Приложение 1.1'!H85+'Приложение 1.1'!H107</f>
        <v>559299.6100000001</v>
      </c>
      <c r="G32" s="34">
        <f>'Приложение 1.1'!I25+'Приложение 1.1'!I54+'Приложение 1.1'!I85+'Приложение 1.1'!I107</f>
        <v>-467376.0099999998</v>
      </c>
    </row>
    <row r="33" spans="1:7" ht="15.75">
      <c r="A33" s="20" t="s">
        <v>50</v>
      </c>
      <c r="B33" s="21"/>
      <c r="C33" s="21"/>
      <c r="D33" s="21"/>
      <c r="E33" s="34"/>
      <c r="F33" s="34"/>
      <c r="G33" s="34"/>
    </row>
    <row r="34" spans="1:7" ht="15.75">
      <c r="A34" s="20" t="s">
        <v>29</v>
      </c>
      <c r="B34" s="21"/>
      <c r="C34" s="21"/>
      <c r="D34" s="21"/>
      <c r="E34" s="34"/>
      <c r="F34" s="34"/>
      <c r="G34" s="34"/>
    </row>
    <row r="35" spans="1:7" ht="15.75">
      <c r="A35" s="20" t="s">
        <v>51</v>
      </c>
      <c r="B35" s="21"/>
      <c r="C35" s="21"/>
      <c r="D35" s="21"/>
      <c r="E35" s="34"/>
      <c r="F35" s="34"/>
      <c r="G35" s="34"/>
    </row>
    <row r="36" spans="1:7" ht="15.75">
      <c r="A36" s="20" t="s">
        <v>30</v>
      </c>
      <c r="B36" s="21">
        <f>'Приложение 1.1'!D26+'Приложение 1.1'!D55</f>
        <v>-26</v>
      </c>
      <c r="C36" s="21">
        <f>'Приложение 1.1'!E26+'Приложение 1.1'!E55</f>
        <v>26</v>
      </c>
      <c r="D36" s="21">
        <f>'Приложение 1.1'!F26+'Приложение 1.1'!F55</f>
        <v>0</v>
      </c>
      <c r="E36" s="34">
        <f>'Приложение 1.1'!G26+'Приложение 1.1'!G55</f>
        <v>-755687</v>
      </c>
      <c r="F36" s="34">
        <f>'Приложение 1.1'!H26+'Приложение 1.1'!H55</f>
        <v>502483.22</v>
      </c>
      <c r="G36" s="34">
        <f>'Приложение 1.1'!I26+'Приложение 1.1'!I55</f>
        <v>-253203.7799999998</v>
      </c>
    </row>
    <row r="37" spans="1:7" ht="15.75">
      <c r="A37" s="20" t="s">
        <v>31</v>
      </c>
      <c r="B37" s="21">
        <f>'Приложение 1.1'!D7+'Приложение 1.1'!D14+'Приложение 1.1'!D27+'Приложение 1.1'!D56</f>
        <v>-5</v>
      </c>
      <c r="C37" s="21">
        <f>'Приложение 1.1'!E7+'Приложение 1.1'!E14+'Приложение 1.1'!E27+'Приложение 1.1'!E56</f>
        <v>5</v>
      </c>
      <c r="D37" s="21">
        <f>'Приложение 1.1'!F7+'Приложение 1.1'!F14+'Приложение 1.1'!F27+'Приложение 1.1'!F56</f>
        <v>0</v>
      </c>
      <c r="E37" s="34">
        <f>'Приложение 1.1'!G7+'Приложение 1.1'!G14+'Приложение 1.1'!G27+'Приложение 1.1'!G56</f>
        <v>-306311.1299999986</v>
      </c>
      <c r="F37" s="34">
        <f>'Приложение 1.1'!H7+'Приложение 1.1'!H14+'Приложение 1.1'!H27+'Приложение 1.1'!H56</f>
        <v>75598.29999999999</v>
      </c>
      <c r="G37" s="34">
        <f>'Приложение 1.1'!I7+'Приложение 1.1'!I14+'Приложение 1.1'!I27+'Приложение 1.1'!I56</f>
        <v>-230712.82999999868</v>
      </c>
    </row>
    <row r="38" spans="1:7" ht="15.75">
      <c r="A38" s="20" t="s">
        <v>32</v>
      </c>
      <c r="B38" s="21">
        <f>'Приложение 1.1'!D28+'Приложение 1.1'!D58</f>
        <v>-48</v>
      </c>
      <c r="C38" s="21">
        <f>'Приложение 1.1'!E28+'Приложение 1.1'!E58</f>
        <v>48</v>
      </c>
      <c r="D38" s="21">
        <f>'Приложение 1.1'!F28+'Приложение 1.1'!F58</f>
        <v>0</v>
      </c>
      <c r="E38" s="34">
        <f>'Приложение 1.1'!G28+'Приложение 1.1'!G58</f>
        <v>-2853747.380000001</v>
      </c>
      <c r="F38" s="34">
        <f>'Приложение 1.1'!H28+'Приложение 1.1'!H58</f>
        <v>1612764.41</v>
      </c>
      <c r="G38" s="34">
        <f>'Приложение 1.1'!I28+'Приложение 1.1'!I58</f>
        <v>-1240982.9700000007</v>
      </c>
    </row>
    <row r="39" spans="1:7" ht="15.75">
      <c r="A39" s="20" t="s">
        <v>47</v>
      </c>
      <c r="B39" s="21"/>
      <c r="C39" s="21"/>
      <c r="D39" s="21"/>
      <c r="E39" s="34"/>
      <c r="F39" s="34"/>
      <c r="G39" s="34"/>
    </row>
    <row r="40" spans="1:7" ht="15.75">
      <c r="A40" s="20" t="s">
        <v>33</v>
      </c>
      <c r="B40" s="21"/>
      <c r="C40" s="21"/>
      <c r="D40" s="21"/>
      <c r="E40" s="34"/>
      <c r="F40" s="34"/>
      <c r="G40" s="34"/>
    </row>
    <row r="41" spans="1:7" ht="31.5">
      <c r="A41" s="20" t="s">
        <v>34</v>
      </c>
      <c r="B41" s="21">
        <f>'Приложение 1.1'!D57+'Приложение 1.1'!D86+'Приложение 1.1'!D108+'Приложение 1.1'!D29</f>
        <v>-78</v>
      </c>
      <c r="C41" s="21">
        <f>'Приложение 1.1'!E57+'Приложение 1.1'!E86+'Приложение 1.1'!E108+'Приложение 1.1'!E29</f>
        <v>78</v>
      </c>
      <c r="D41" s="21">
        <f>'Приложение 1.1'!F57+'Приложение 1.1'!F86+'Приложение 1.1'!F108+'Приложение 1.1'!F29</f>
        <v>0</v>
      </c>
      <c r="E41" s="34">
        <f>'Приложение 1.1'!G57+'Приложение 1.1'!G86+'Приложение 1.1'!G108+'Приложение 1.1'!G29</f>
        <v>-2033898.709999999</v>
      </c>
      <c r="F41" s="34">
        <f>'Приложение 1.1'!H57+'Приложение 1.1'!H86+'Приложение 1.1'!H108+'Приложение 1.1'!H29</f>
        <v>1289828.8599999999</v>
      </c>
      <c r="G41" s="34">
        <f>'Приложение 1.1'!I57+'Приложение 1.1'!I86+'Приложение 1.1'!I108+'Приложение 1.1'!I29</f>
        <v>-744069.8499999987</v>
      </c>
    </row>
    <row r="42" spans="1:7" ht="36" customHeight="1">
      <c r="A42" s="20" t="s">
        <v>35</v>
      </c>
      <c r="B42" s="21"/>
      <c r="C42" s="21"/>
      <c r="D42" s="21"/>
      <c r="E42" s="34"/>
      <c r="F42" s="34"/>
      <c r="G42" s="34"/>
    </row>
    <row r="43" spans="1:7" ht="31.5">
      <c r="A43" s="20" t="s">
        <v>54</v>
      </c>
      <c r="B43" s="21"/>
      <c r="C43" s="21"/>
      <c r="D43" s="21"/>
      <c r="E43" s="34"/>
      <c r="F43" s="34"/>
      <c r="G43" s="34"/>
    </row>
    <row r="44" spans="1:7" ht="31.5">
      <c r="A44" s="20" t="s">
        <v>55</v>
      </c>
      <c r="B44" s="21"/>
      <c r="C44" s="21"/>
      <c r="D44" s="21"/>
      <c r="E44" s="34"/>
      <c r="F44" s="34"/>
      <c r="G44" s="34"/>
    </row>
    <row r="45" spans="1:7" ht="31.5">
      <c r="A45" s="20" t="s">
        <v>57</v>
      </c>
      <c r="B45" s="21"/>
      <c r="C45" s="21"/>
      <c r="D45" s="21"/>
      <c r="E45" s="34"/>
      <c r="F45" s="34"/>
      <c r="G45" s="34"/>
    </row>
    <row r="46" spans="1:7" ht="31.5">
      <c r="A46" s="20" t="s">
        <v>48</v>
      </c>
      <c r="B46" s="21"/>
      <c r="C46" s="21"/>
      <c r="D46" s="21"/>
      <c r="E46" s="34"/>
      <c r="F46" s="34"/>
      <c r="G46" s="34"/>
    </row>
    <row r="47" spans="1:7" ht="23.25" customHeight="1">
      <c r="A47" s="68" t="s">
        <v>73</v>
      </c>
      <c r="B47" s="12">
        <f aca="true" t="shared" si="0" ref="B47:G47">SUM(B8:B46)</f>
        <v>-308</v>
      </c>
      <c r="C47" s="12">
        <f t="shared" si="0"/>
        <v>308</v>
      </c>
      <c r="D47" s="12">
        <f t="shared" si="0"/>
        <v>0</v>
      </c>
      <c r="E47" s="69">
        <f t="shared" si="0"/>
        <v>-10243988.979999997</v>
      </c>
      <c r="F47" s="69">
        <f t="shared" si="0"/>
        <v>6158495.41</v>
      </c>
      <c r="G47" s="69">
        <f t="shared" si="0"/>
        <v>-4085493.5699999947</v>
      </c>
    </row>
    <row r="53" s="16" customFormat="1" ht="15.75">
      <c r="C53" s="18"/>
    </row>
  </sheetData>
  <sheetProtection/>
  <mergeCells count="5">
    <mergeCell ref="B6:D6"/>
    <mergeCell ref="E6:G6"/>
    <mergeCell ref="F1:G1"/>
    <mergeCell ref="A3:G3"/>
    <mergeCell ref="A6:A7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6"/>
  <sheetViews>
    <sheetView zoomScalePageLayoutView="0" workbookViewId="0" topLeftCell="A103">
      <selection activeCell="I125" sqref="I125"/>
    </sheetView>
  </sheetViews>
  <sheetFormatPr defaultColWidth="9.140625" defaultRowHeight="15"/>
  <cols>
    <col min="1" max="1" width="9.140625" style="16" customWidth="1"/>
    <col min="2" max="2" width="15.8515625" style="16" customWidth="1"/>
    <col min="3" max="3" width="55.140625" style="16" customWidth="1"/>
    <col min="4" max="4" width="9.8515625" style="40" customWidth="1"/>
    <col min="5" max="6" width="10.00390625" style="40" customWidth="1"/>
    <col min="7" max="7" width="18.57421875" style="62" customWidth="1"/>
    <col min="8" max="8" width="22.28125" style="62" customWidth="1"/>
    <col min="9" max="9" width="17.28125" style="62" customWidth="1"/>
    <col min="10" max="10" width="14.28125" style="16" bestFit="1" customWidth="1"/>
    <col min="11" max="16384" width="9.140625" style="16" customWidth="1"/>
  </cols>
  <sheetData>
    <row r="1" spans="8:9" ht="50.25" customHeight="1">
      <c r="H1" s="78" t="s">
        <v>134</v>
      </c>
      <c r="I1" s="78"/>
    </row>
    <row r="2" spans="1:9" ht="36" customHeight="1">
      <c r="A2" s="84" t="s">
        <v>111</v>
      </c>
      <c r="B2" s="84"/>
      <c r="C2" s="84"/>
      <c r="D2" s="84"/>
      <c r="E2" s="84"/>
      <c r="F2" s="84"/>
      <c r="G2" s="84"/>
      <c r="H2" s="84"/>
      <c r="I2" s="84"/>
    </row>
    <row r="3" ht="21" customHeight="1"/>
    <row r="4" spans="1:9" ht="26.25" customHeight="1">
      <c r="A4" s="87" t="s">
        <v>80</v>
      </c>
      <c r="B4" s="85" t="s">
        <v>79</v>
      </c>
      <c r="C4" s="85" t="s">
        <v>58</v>
      </c>
      <c r="D4" s="82" t="s">
        <v>77</v>
      </c>
      <c r="E4" s="82"/>
      <c r="F4" s="82"/>
      <c r="G4" s="83" t="s">
        <v>74</v>
      </c>
      <c r="H4" s="83"/>
      <c r="I4" s="83"/>
    </row>
    <row r="5" spans="1:9" ht="27.75" customHeight="1">
      <c r="A5" s="88"/>
      <c r="B5" s="86"/>
      <c r="C5" s="86"/>
      <c r="D5" s="60" t="s">
        <v>15</v>
      </c>
      <c r="E5" s="60" t="s">
        <v>16</v>
      </c>
      <c r="F5" s="60" t="s">
        <v>17</v>
      </c>
      <c r="G5" s="61" t="s">
        <v>15</v>
      </c>
      <c r="H5" s="61" t="s">
        <v>16</v>
      </c>
      <c r="I5" s="61" t="s">
        <v>17</v>
      </c>
    </row>
    <row r="6" spans="1:9" ht="31.5">
      <c r="A6" s="20">
        <v>150001</v>
      </c>
      <c r="B6" s="20" t="s">
        <v>0</v>
      </c>
      <c r="C6" s="20"/>
      <c r="D6" s="60"/>
      <c r="E6" s="60"/>
      <c r="F6" s="60"/>
      <c r="G6" s="61"/>
      <c r="H6" s="61"/>
      <c r="I6" s="61"/>
    </row>
    <row r="7" spans="1:9" ht="24" customHeight="1">
      <c r="A7" s="20"/>
      <c r="B7" s="20"/>
      <c r="C7" s="20" t="s">
        <v>31</v>
      </c>
      <c r="D7" s="41">
        <v>-12</v>
      </c>
      <c r="E7" s="41">
        <v>-5</v>
      </c>
      <c r="F7" s="41">
        <f>SUM(D7:E7)</f>
        <v>-17</v>
      </c>
      <c r="G7" s="42">
        <f>35368827.75-G10</f>
        <v>-297842.7599999979</v>
      </c>
      <c r="H7" s="42">
        <f>5162607.84-H10</f>
        <v>-124101.15000000037</v>
      </c>
      <c r="I7" s="42">
        <f>SUM(G7:H7)</f>
        <v>-421943.9099999983</v>
      </c>
    </row>
    <row r="8" spans="1:9" ht="27.75" customHeight="1">
      <c r="A8" s="24"/>
      <c r="B8" s="94" t="s">
        <v>114</v>
      </c>
      <c r="C8" s="95"/>
      <c r="D8" s="43">
        <f aca="true" t="shared" si="0" ref="D8:I8">D7</f>
        <v>-12</v>
      </c>
      <c r="E8" s="43">
        <f t="shared" si="0"/>
        <v>-5</v>
      </c>
      <c r="F8" s="43">
        <f t="shared" si="0"/>
        <v>-17</v>
      </c>
      <c r="G8" s="44">
        <f t="shared" si="0"/>
        <v>-297842.7599999979</v>
      </c>
      <c r="H8" s="44">
        <f t="shared" si="0"/>
        <v>-124101.15000000037</v>
      </c>
      <c r="I8" s="44">
        <f t="shared" si="0"/>
        <v>-421943.9099999983</v>
      </c>
    </row>
    <row r="9" spans="1:9" ht="35.25" customHeight="1">
      <c r="A9" s="64"/>
      <c r="B9" s="90" t="s">
        <v>112</v>
      </c>
      <c r="C9" s="91"/>
      <c r="D9" s="45">
        <v>15964</v>
      </c>
      <c r="E9" s="45">
        <v>3551</v>
      </c>
      <c r="F9" s="45">
        <v>19515</v>
      </c>
      <c r="G9" s="46">
        <v>508299527.21</v>
      </c>
      <c r="H9" s="46">
        <v>114301130.67</v>
      </c>
      <c r="I9" s="46">
        <v>622600657.88</v>
      </c>
    </row>
    <row r="10" spans="1:9" ht="19.5" customHeight="1">
      <c r="A10" s="64"/>
      <c r="B10" s="47"/>
      <c r="C10" s="26" t="s">
        <v>31</v>
      </c>
      <c r="D10" s="37">
        <v>1437</v>
      </c>
      <c r="E10" s="37">
        <v>213</v>
      </c>
      <c r="F10" s="37">
        <v>1650</v>
      </c>
      <c r="G10" s="48">
        <v>35666670.51</v>
      </c>
      <c r="H10" s="48">
        <v>5286708.99</v>
      </c>
      <c r="I10" s="48">
        <v>40953379.5</v>
      </c>
    </row>
    <row r="11" spans="1:9" ht="30.75" customHeight="1">
      <c r="A11" s="64"/>
      <c r="B11" s="92" t="s">
        <v>113</v>
      </c>
      <c r="C11" s="93"/>
      <c r="D11" s="43">
        <f aca="true" t="shared" si="1" ref="D11:I11">D9+D8</f>
        <v>15952</v>
      </c>
      <c r="E11" s="43">
        <f t="shared" si="1"/>
        <v>3546</v>
      </c>
      <c r="F11" s="43">
        <f t="shared" si="1"/>
        <v>19498</v>
      </c>
      <c r="G11" s="44">
        <f t="shared" si="1"/>
        <v>508001684.45</v>
      </c>
      <c r="H11" s="44">
        <f t="shared" si="1"/>
        <v>114177029.52</v>
      </c>
      <c r="I11" s="44">
        <f t="shared" si="1"/>
        <v>622178713.97</v>
      </c>
    </row>
    <row r="12" spans="1:9" ht="18" customHeight="1">
      <c r="A12" s="64"/>
      <c r="B12" s="64"/>
      <c r="C12" s="26" t="s">
        <v>31</v>
      </c>
      <c r="D12" s="41">
        <f aca="true" t="shared" si="2" ref="D12:I12">D10+D7</f>
        <v>1425</v>
      </c>
      <c r="E12" s="41">
        <f t="shared" si="2"/>
        <v>208</v>
      </c>
      <c r="F12" s="41">
        <f t="shared" si="2"/>
        <v>1633</v>
      </c>
      <c r="G12" s="42">
        <f>G10+G7</f>
        <v>35368827.75</v>
      </c>
      <c r="H12" s="42">
        <f t="shared" si="2"/>
        <v>5162607.84</v>
      </c>
      <c r="I12" s="42">
        <f t="shared" si="2"/>
        <v>40531435.59</v>
      </c>
    </row>
    <row r="13" spans="1:9" ht="47.25">
      <c r="A13" s="20">
        <v>150024</v>
      </c>
      <c r="B13" s="20" t="s">
        <v>10</v>
      </c>
      <c r="C13" s="20"/>
      <c r="D13" s="41"/>
      <c r="E13" s="41"/>
      <c r="F13" s="41"/>
      <c r="G13" s="42"/>
      <c r="H13" s="42"/>
      <c r="I13" s="42"/>
    </row>
    <row r="14" spans="1:9" ht="18.75" customHeight="1">
      <c r="A14" s="20"/>
      <c r="B14" s="20"/>
      <c r="C14" s="20" t="s">
        <v>31</v>
      </c>
      <c r="D14" s="41">
        <v>12</v>
      </c>
      <c r="E14" s="41">
        <v>5</v>
      </c>
      <c r="F14" s="41">
        <f>SUM(D14:E14)</f>
        <v>17</v>
      </c>
      <c r="G14" s="42">
        <f>20692871.56-G17</f>
        <v>236040.3599999994</v>
      </c>
      <c r="H14" s="42">
        <f>5212557.95-H17</f>
        <v>98350.15000000037</v>
      </c>
      <c r="I14" s="42">
        <f>SUM(G14:H14)</f>
        <v>334390.5099999998</v>
      </c>
    </row>
    <row r="15" spans="1:9" s="25" customFormat="1" ht="21.75" customHeight="1">
      <c r="A15" s="59"/>
      <c r="B15" s="94" t="s">
        <v>115</v>
      </c>
      <c r="C15" s="95"/>
      <c r="D15" s="43">
        <f>D14</f>
        <v>12</v>
      </c>
      <c r="E15" s="43">
        <f>E14</f>
        <v>5</v>
      </c>
      <c r="F15" s="43">
        <f>SUM(D15:E15)</f>
        <v>17</v>
      </c>
      <c r="G15" s="44">
        <f>G14</f>
        <v>236040.3599999994</v>
      </c>
      <c r="H15" s="44">
        <f>H14</f>
        <v>98350.15000000037</v>
      </c>
      <c r="I15" s="44">
        <f>SUM(G15:H15)</f>
        <v>334390.5099999998</v>
      </c>
    </row>
    <row r="16" spans="1:9" s="29" customFormat="1" ht="42.75" customHeight="1">
      <c r="A16" s="26"/>
      <c r="B16" s="90" t="s">
        <v>116</v>
      </c>
      <c r="C16" s="91"/>
      <c r="D16" s="37">
        <v>2372</v>
      </c>
      <c r="E16" s="37">
        <v>628</v>
      </c>
      <c r="F16" s="37">
        <v>3000</v>
      </c>
      <c r="G16" s="48">
        <v>49680278.41</v>
      </c>
      <c r="H16" s="48">
        <v>13735503.09</v>
      </c>
      <c r="I16" s="48">
        <v>63415781.5</v>
      </c>
    </row>
    <row r="17" spans="1:9" ht="21.75" customHeight="1">
      <c r="A17" s="20"/>
      <c r="B17" s="47"/>
      <c r="C17" s="26" t="s">
        <v>31</v>
      </c>
      <c r="D17" s="41">
        <v>1040</v>
      </c>
      <c r="E17" s="41">
        <v>260</v>
      </c>
      <c r="F17" s="42">
        <v>1300</v>
      </c>
      <c r="G17" s="42">
        <v>20456831.2</v>
      </c>
      <c r="H17" s="42">
        <v>5114207.8</v>
      </c>
      <c r="I17" s="42">
        <v>25571039</v>
      </c>
    </row>
    <row r="18" spans="1:9" ht="40.5" customHeight="1">
      <c r="A18" s="20"/>
      <c r="B18" s="92" t="s">
        <v>117</v>
      </c>
      <c r="C18" s="93"/>
      <c r="D18" s="43">
        <f aca="true" t="shared" si="3" ref="D18:I18">D16+D15</f>
        <v>2384</v>
      </c>
      <c r="E18" s="43">
        <f t="shared" si="3"/>
        <v>633</v>
      </c>
      <c r="F18" s="44">
        <f t="shared" si="3"/>
        <v>3017</v>
      </c>
      <c r="G18" s="44">
        <f t="shared" si="3"/>
        <v>49916318.769999996</v>
      </c>
      <c r="H18" s="44">
        <f t="shared" si="3"/>
        <v>13833853.24</v>
      </c>
      <c r="I18" s="44">
        <f t="shared" si="3"/>
        <v>63750172.01</v>
      </c>
    </row>
    <row r="19" spans="1:9" ht="15.75">
      <c r="A19" s="20"/>
      <c r="B19" s="64"/>
      <c r="C19" s="26" t="s">
        <v>31</v>
      </c>
      <c r="D19" s="41">
        <f aca="true" t="shared" si="4" ref="D19:I19">D14+D17</f>
        <v>1052</v>
      </c>
      <c r="E19" s="41">
        <f t="shared" si="4"/>
        <v>265</v>
      </c>
      <c r="F19" s="42">
        <f t="shared" si="4"/>
        <v>1317</v>
      </c>
      <c r="G19" s="42">
        <f t="shared" si="4"/>
        <v>20692871.56</v>
      </c>
      <c r="H19" s="42">
        <f t="shared" si="4"/>
        <v>5212557.95</v>
      </c>
      <c r="I19" s="42">
        <f t="shared" si="4"/>
        <v>25905429.509999998</v>
      </c>
    </row>
    <row r="20" spans="1:9" ht="15.75">
      <c r="A20" s="20"/>
      <c r="B20" s="20"/>
      <c r="C20" s="20"/>
      <c r="D20" s="21"/>
      <c r="E20" s="21"/>
      <c r="F20" s="21"/>
      <c r="G20" s="61"/>
      <c r="H20" s="61"/>
      <c r="I20" s="61"/>
    </row>
    <row r="21" spans="1:9" ht="57" customHeight="1">
      <c r="A21" s="20">
        <v>150009</v>
      </c>
      <c r="B21" s="20" t="s">
        <v>7</v>
      </c>
      <c r="C21" s="20"/>
      <c r="D21" s="21"/>
      <c r="E21" s="21"/>
      <c r="F21" s="21"/>
      <c r="G21" s="61"/>
      <c r="H21" s="61"/>
      <c r="I21" s="61"/>
    </row>
    <row r="22" spans="1:10" ht="15.75">
      <c r="A22" s="20"/>
      <c r="B22" s="20"/>
      <c r="C22" s="20" t="s">
        <v>22</v>
      </c>
      <c r="D22" s="21">
        <v>-117</v>
      </c>
      <c r="E22" s="21">
        <v>-2</v>
      </c>
      <c r="F22" s="21">
        <f aca="true" t="shared" si="5" ref="F22:F28">SUM(D22:E22)</f>
        <v>-119</v>
      </c>
      <c r="G22" s="61">
        <v>-3703981.27</v>
      </c>
      <c r="H22" s="61">
        <v>-58969.17</v>
      </c>
      <c r="I22" s="61">
        <f aca="true" t="shared" si="6" ref="I22:I29">SUM(G22:H22)</f>
        <v>-3762950.44</v>
      </c>
      <c r="J22" s="31"/>
    </row>
    <row r="23" spans="1:9" ht="15.75">
      <c r="A23" s="20"/>
      <c r="B23" s="20"/>
      <c r="C23" s="20" t="s">
        <v>25</v>
      </c>
      <c r="D23" s="21">
        <v>-234</v>
      </c>
      <c r="E23" s="21">
        <v>-2</v>
      </c>
      <c r="F23" s="21">
        <f t="shared" si="5"/>
        <v>-236</v>
      </c>
      <c r="G23" s="61">
        <v>-4216736.55</v>
      </c>
      <c r="H23" s="61">
        <v>-41578.1</v>
      </c>
      <c r="I23" s="61">
        <f t="shared" si="6"/>
        <v>-4258314.649999999</v>
      </c>
    </row>
    <row r="24" spans="1:9" ht="15.75">
      <c r="A24" s="20"/>
      <c r="B24" s="20"/>
      <c r="C24" s="20" t="s">
        <v>49</v>
      </c>
      <c r="D24" s="21">
        <v>-340</v>
      </c>
      <c r="E24" s="21">
        <v>0</v>
      </c>
      <c r="F24" s="21">
        <f t="shared" si="5"/>
        <v>-340</v>
      </c>
      <c r="G24" s="61">
        <v>-5165295.72</v>
      </c>
      <c r="H24" s="61">
        <v>1287.44</v>
      </c>
      <c r="I24" s="61">
        <f t="shared" si="6"/>
        <v>-5164008.279999999</v>
      </c>
    </row>
    <row r="25" spans="1:9" ht="15.75">
      <c r="A25" s="20"/>
      <c r="B25" s="20"/>
      <c r="C25" s="20" t="s">
        <v>28</v>
      </c>
      <c r="D25" s="21">
        <v>-180</v>
      </c>
      <c r="E25" s="21">
        <v>-3</v>
      </c>
      <c r="F25" s="21">
        <f t="shared" si="5"/>
        <v>-183</v>
      </c>
      <c r="G25" s="61">
        <v>-3875937.62</v>
      </c>
      <c r="H25" s="61">
        <v>-67538.03</v>
      </c>
      <c r="I25" s="61">
        <f t="shared" si="6"/>
        <v>-3943475.65</v>
      </c>
    </row>
    <row r="26" spans="1:9" ht="15.75">
      <c r="A26" s="20"/>
      <c r="B26" s="20"/>
      <c r="C26" s="20" t="s">
        <v>30</v>
      </c>
      <c r="D26" s="21">
        <v>-125</v>
      </c>
      <c r="E26" s="21">
        <v>-4</v>
      </c>
      <c r="F26" s="21">
        <f t="shared" si="5"/>
        <v>-129</v>
      </c>
      <c r="G26" s="61">
        <v>-2698883.75</v>
      </c>
      <c r="H26" s="61">
        <v>-86364.28</v>
      </c>
      <c r="I26" s="61">
        <f t="shared" si="6"/>
        <v>-2785248.03</v>
      </c>
    </row>
    <row r="27" spans="1:9" ht="15.75">
      <c r="A27" s="20"/>
      <c r="B27" s="20"/>
      <c r="C27" s="20" t="s">
        <v>31</v>
      </c>
      <c r="D27" s="21">
        <v>-25</v>
      </c>
      <c r="E27" s="21">
        <v>-1</v>
      </c>
      <c r="F27" s="21">
        <f t="shared" si="5"/>
        <v>-26</v>
      </c>
      <c r="G27" s="61">
        <v>-658179.33</v>
      </c>
      <c r="H27" s="61">
        <v>-22751.88</v>
      </c>
      <c r="I27" s="61">
        <f t="shared" si="6"/>
        <v>-680931.21</v>
      </c>
    </row>
    <row r="28" spans="1:9" ht="15.75">
      <c r="A28" s="20"/>
      <c r="B28" s="20"/>
      <c r="C28" s="20" t="s">
        <v>32</v>
      </c>
      <c r="D28" s="21">
        <v>-348</v>
      </c>
      <c r="E28" s="21">
        <v>-14</v>
      </c>
      <c r="F28" s="21">
        <f t="shared" si="5"/>
        <v>-362</v>
      </c>
      <c r="G28" s="61">
        <v>-11528166.38</v>
      </c>
      <c r="H28" s="61">
        <v>-179948.85</v>
      </c>
      <c r="I28" s="61">
        <f t="shared" si="6"/>
        <v>-11708115.23</v>
      </c>
    </row>
    <row r="29" spans="1:9" ht="19.5" customHeight="1">
      <c r="A29" s="20"/>
      <c r="B29" s="20"/>
      <c r="C29" s="20" t="s">
        <v>34</v>
      </c>
      <c r="D29" s="21">
        <v>-445</v>
      </c>
      <c r="E29" s="21">
        <v>-22</v>
      </c>
      <c r="F29" s="21">
        <f>SUM(D29:E29)</f>
        <v>-467</v>
      </c>
      <c r="G29" s="61">
        <v>-8230513.88</v>
      </c>
      <c r="H29" s="61">
        <v>-398622.14</v>
      </c>
      <c r="I29" s="61">
        <f t="shared" si="6"/>
        <v>-8629136.02</v>
      </c>
    </row>
    <row r="30" spans="1:9" ht="19.5" customHeight="1">
      <c r="A30" s="20"/>
      <c r="B30" s="96" t="s">
        <v>118</v>
      </c>
      <c r="C30" s="96"/>
      <c r="D30" s="12">
        <f aca="true" t="shared" si="7" ref="D30:I30">SUM(D22:D29)</f>
        <v>-1814</v>
      </c>
      <c r="E30" s="12">
        <f t="shared" si="7"/>
        <v>-48</v>
      </c>
      <c r="F30" s="12">
        <f t="shared" si="7"/>
        <v>-1862</v>
      </c>
      <c r="G30" s="13">
        <f t="shared" si="7"/>
        <v>-40077694.5</v>
      </c>
      <c r="H30" s="13">
        <f t="shared" si="7"/>
        <v>-854485.01</v>
      </c>
      <c r="I30" s="13">
        <f t="shared" si="7"/>
        <v>-40932179.510000005</v>
      </c>
    </row>
    <row r="31" spans="1:9" s="29" customFormat="1" ht="42" customHeight="1">
      <c r="A31" s="26"/>
      <c r="B31" s="89" t="s">
        <v>119</v>
      </c>
      <c r="C31" s="89"/>
      <c r="D31" s="49">
        <v>3307</v>
      </c>
      <c r="E31" s="49">
        <v>94</v>
      </c>
      <c r="F31" s="49">
        <v>3401</v>
      </c>
      <c r="G31" s="28">
        <v>71644505.91</v>
      </c>
      <c r="H31" s="28">
        <v>2285170.87</v>
      </c>
      <c r="I31" s="28">
        <v>73929676.78</v>
      </c>
    </row>
    <row r="32" spans="1:9" s="29" customFormat="1" ht="15.75">
      <c r="A32" s="26"/>
      <c r="B32" s="26"/>
      <c r="C32" s="26" t="s">
        <v>22</v>
      </c>
      <c r="D32" s="27">
        <v>266</v>
      </c>
      <c r="E32" s="27">
        <v>5</v>
      </c>
      <c r="F32" s="27">
        <v>271</v>
      </c>
      <c r="G32" s="28">
        <v>6916571.9</v>
      </c>
      <c r="H32" s="28">
        <v>130010.75</v>
      </c>
      <c r="I32" s="28">
        <v>7046582.65</v>
      </c>
    </row>
    <row r="33" spans="1:9" s="29" customFormat="1" ht="15.75">
      <c r="A33" s="26"/>
      <c r="B33" s="26"/>
      <c r="C33" s="26" t="s">
        <v>25</v>
      </c>
      <c r="D33" s="27">
        <v>379</v>
      </c>
      <c r="E33" s="27">
        <v>8</v>
      </c>
      <c r="F33" s="27">
        <v>387</v>
      </c>
      <c r="G33" s="28">
        <v>7039151.84</v>
      </c>
      <c r="H33" s="28">
        <v>148583.68</v>
      </c>
      <c r="I33" s="28">
        <v>7187735.52</v>
      </c>
    </row>
    <row r="34" spans="1:9" s="29" customFormat="1" ht="15.75">
      <c r="A34" s="26"/>
      <c r="B34" s="26"/>
      <c r="C34" s="26" t="s">
        <v>49</v>
      </c>
      <c r="D34" s="27">
        <v>784</v>
      </c>
      <c r="E34" s="27">
        <v>8</v>
      </c>
      <c r="F34" s="27">
        <v>792</v>
      </c>
      <c r="G34" s="28">
        <v>13287098.72</v>
      </c>
      <c r="H34" s="28">
        <v>135582.64</v>
      </c>
      <c r="I34" s="28">
        <v>13422681.36</v>
      </c>
    </row>
    <row r="35" spans="1:9" s="29" customFormat="1" ht="15.75">
      <c r="A35" s="26"/>
      <c r="B35" s="26"/>
      <c r="C35" s="26" t="s">
        <v>28</v>
      </c>
      <c r="D35" s="27">
        <v>409</v>
      </c>
      <c r="E35" s="27">
        <v>4</v>
      </c>
      <c r="F35" s="27">
        <v>413</v>
      </c>
      <c r="G35" s="28">
        <v>8545883.22</v>
      </c>
      <c r="H35" s="28">
        <v>83578.32</v>
      </c>
      <c r="I35" s="28">
        <v>8629461.54</v>
      </c>
    </row>
    <row r="36" spans="1:9" s="29" customFormat="1" ht="15.75">
      <c r="A36" s="26"/>
      <c r="B36" s="26"/>
      <c r="C36" s="26" t="s">
        <v>30</v>
      </c>
      <c r="D36" s="27">
        <v>125</v>
      </c>
      <c r="E36" s="27">
        <v>4</v>
      </c>
      <c r="F36" s="27">
        <v>129</v>
      </c>
      <c r="G36" s="28">
        <v>2698883.75</v>
      </c>
      <c r="H36" s="28">
        <v>86364.28</v>
      </c>
      <c r="I36" s="28">
        <v>2785248.03</v>
      </c>
    </row>
    <row r="37" spans="1:9" s="29" customFormat="1" ht="15.75">
      <c r="A37" s="26"/>
      <c r="B37" s="26"/>
      <c r="C37" s="26" t="s">
        <v>31</v>
      </c>
      <c r="D37" s="27">
        <v>118</v>
      </c>
      <c r="E37" s="27">
        <v>1</v>
      </c>
      <c r="F37" s="27">
        <v>119</v>
      </c>
      <c r="G37" s="28">
        <v>2684721.84</v>
      </c>
      <c r="H37" s="28">
        <v>22751.88</v>
      </c>
      <c r="I37" s="28">
        <v>2707473.72</v>
      </c>
    </row>
    <row r="38" spans="1:9" s="29" customFormat="1" ht="15.75">
      <c r="A38" s="26"/>
      <c r="B38" s="26"/>
      <c r="C38" s="26" t="s">
        <v>32</v>
      </c>
      <c r="D38" s="27">
        <v>582</v>
      </c>
      <c r="E38" s="27">
        <v>37</v>
      </c>
      <c r="F38" s="27">
        <v>619</v>
      </c>
      <c r="G38" s="28">
        <v>18511208.4</v>
      </c>
      <c r="H38" s="28">
        <v>1176829.4</v>
      </c>
      <c r="I38" s="28">
        <v>19688037.8</v>
      </c>
    </row>
    <row r="39" spans="1:9" s="29" customFormat="1" ht="31.5">
      <c r="A39" s="26"/>
      <c r="B39" s="26"/>
      <c r="C39" s="26" t="s">
        <v>34</v>
      </c>
      <c r="D39" s="27">
        <v>644</v>
      </c>
      <c r="E39" s="27">
        <v>27</v>
      </c>
      <c r="F39" s="27">
        <v>671</v>
      </c>
      <c r="G39" s="28">
        <v>11960986.24</v>
      </c>
      <c r="H39" s="28">
        <v>501469.92</v>
      </c>
      <c r="I39" s="28">
        <v>12462456.16</v>
      </c>
    </row>
    <row r="40" spans="1:9" ht="31.5" customHeight="1">
      <c r="A40" s="20"/>
      <c r="B40" s="97" t="s">
        <v>120</v>
      </c>
      <c r="C40" s="97"/>
      <c r="D40" s="12">
        <f aca="true" t="shared" si="8" ref="D40:I40">D31+D30</f>
        <v>1493</v>
      </c>
      <c r="E40" s="12">
        <f t="shared" si="8"/>
        <v>46</v>
      </c>
      <c r="F40" s="12">
        <f t="shared" si="8"/>
        <v>1539</v>
      </c>
      <c r="G40" s="13">
        <f t="shared" si="8"/>
        <v>31566811.409999996</v>
      </c>
      <c r="H40" s="13">
        <f t="shared" si="8"/>
        <v>1430685.86</v>
      </c>
      <c r="I40" s="13">
        <f t="shared" si="8"/>
        <v>32997497.269999996</v>
      </c>
    </row>
    <row r="41" spans="1:9" ht="15.75">
      <c r="A41" s="20"/>
      <c r="B41" s="20"/>
      <c r="C41" s="20" t="s">
        <v>22</v>
      </c>
      <c r="D41" s="21">
        <f aca="true" t="shared" si="9" ref="D41:I41">D32+D22</f>
        <v>149</v>
      </c>
      <c r="E41" s="21">
        <f aca="true" t="shared" si="10" ref="E41:F48">E32+E22</f>
        <v>3</v>
      </c>
      <c r="F41" s="21">
        <f t="shared" si="10"/>
        <v>152</v>
      </c>
      <c r="G41" s="61">
        <f t="shared" si="9"/>
        <v>3212590.6300000004</v>
      </c>
      <c r="H41" s="61">
        <f t="shared" si="9"/>
        <v>71041.58</v>
      </c>
      <c r="I41" s="61">
        <f t="shared" si="9"/>
        <v>3283632.2100000004</v>
      </c>
    </row>
    <row r="42" spans="1:9" ht="15.75">
      <c r="A42" s="20"/>
      <c r="B42" s="20"/>
      <c r="C42" s="20" t="s">
        <v>25</v>
      </c>
      <c r="D42" s="21">
        <f aca="true" t="shared" si="11" ref="D42:D48">D33+D23</f>
        <v>145</v>
      </c>
      <c r="E42" s="21">
        <f t="shared" si="10"/>
        <v>6</v>
      </c>
      <c r="F42" s="21">
        <f t="shared" si="10"/>
        <v>151</v>
      </c>
      <c r="G42" s="61">
        <f aca="true" t="shared" si="12" ref="G42:I48">G33+G23</f>
        <v>2822415.29</v>
      </c>
      <c r="H42" s="61">
        <f t="shared" si="12"/>
        <v>107005.57999999999</v>
      </c>
      <c r="I42" s="61">
        <f t="shared" si="12"/>
        <v>2929420.87</v>
      </c>
    </row>
    <row r="43" spans="1:9" ht="15.75">
      <c r="A43" s="20"/>
      <c r="B43" s="20"/>
      <c r="C43" s="20" t="s">
        <v>49</v>
      </c>
      <c r="D43" s="21">
        <f t="shared" si="11"/>
        <v>444</v>
      </c>
      <c r="E43" s="21">
        <f t="shared" si="10"/>
        <v>8</v>
      </c>
      <c r="F43" s="21">
        <f t="shared" si="10"/>
        <v>452</v>
      </c>
      <c r="G43" s="61">
        <f t="shared" si="12"/>
        <v>8121803.000000001</v>
      </c>
      <c r="H43" s="61">
        <f t="shared" si="12"/>
        <v>136870.08000000002</v>
      </c>
      <c r="I43" s="61">
        <f t="shared" si="12"/>
        <v>8258673.08</v>
      </c>
    </row>
    <row r="44" spans="1:9" ht="15.75">
      <c r="A44" s="20"/>
      <c r="B44" s="20"/>
      <c r="C44" s="20" t="s">
        <v>28</v>
      </c>
      <c r="D44" s="21">
        <f t="shared" si="11"/>
        <v>229</v>
      </c>
      <c r="E44" s="21">
        <f t="shared" si="10"/>
        <v>1</v>
      </c>
      <c r="F44" s="21">
        <f t="shared" si="10"/>
        <v>230</v>
      </c>
      <c r="G44" s="61">
        <f t="shared" si="12"/>
        <v>4669945.600000001</v>
      </c>
      <c r="H44" s="61">
        <f t="shared" si="12"/>
        <v>16040.290000000008</v>
      </c>
      <c r="I44" s="61">
        <f t="shared" si="12"/>
        <v>4685985.889999999</v>
      </c>
    </row>
    <row r="45" spans="1:9" ht="15.75">
      <c r="A45" s="20"/>
      <c r="B45" s="20"/>
      <c r="C45" s="20" t="s">
        <v>30</v>
      </c>
      <c r="D45" s="21">
        <f t="shared" si="11"/>
        <v>0</v>
      </c>
      <c r="E45" s="21">
        <f t="shared" si="10"/>
        <v>0</v>
      </c>
      <c r="F45" s="21">
        <f t="shared" si="10"/>
        <v>0</v>
      </c>
      <c r="G45" s="61">
        <f t="shared" si="12"/>
        <v>0</v>
      </c>
      <c r="H45" s="61">
        <f t="shared" si="12"/>
        <v>0</v>
      </c>
      <c r="I45" s="61">
        <f t="shared" si="12"/>
        <v>0</v>
      </c>
    </row>
    <row r="46" spans="1:9" ht="15.75">
      <c r="A46" s="20"/>
      <c r="B46" s="20"/>
      <c r="C46" s="20" t="s">
        <v>31</v>
      </c>
      <c r="D46" s="21">
        <f t="shared" si="11"/>
        <v>93</v>
      </c>
      <c r="E46" s="21">
        <f t="shared" si="10"/>
        <v>0</v>
      </c>
      <c r="F46" s="21">
        <f t="shared" si="10"/>
        <v>93</v>
      </c>
      <c r="G46" s="61">
        <f t="shared" si="12"/>
        <v>2026542.5099999998</v>
      </c>
      <c r="H46" s="61">
        <f t="shared" si="12"/>
        <v>0</v>
      </c>
      <c r="I46" s="61">
        <f t="shared" si="12"/>
        <v>2026542.5100000002</v>
      </c>
    </row>
    <row r="47" spans="1:9" ht="15.75">
      <c r="A47" s="20"/>
      <c r="B47" s="20"/>
      <c r="C47" s="20" t="s">
        <v>32</v>
      </c>
      <c r="D47" s="21">
        <f t="shared" si="11"/>
        <v>234</v>
      </c>
      <c r="E47" s="21">
        <f t="shared" si="10"/>
        <v>23</v>
      </c>
      <c r="F47" s="21">
        <f t="shared" si="10"/>
        <v>257</v>
      </c>
      <c r="G47" s="61">
        <f t="shared" si="12"/>
        <v>6983042.019999998</v>
      </c>
      <c r="H47" s="61">
        <f t="shared" si="12"/>
        <v>996880.5499999999</v>
      </c>
      <c r="I47" s="61">
        <f t="shared" si="12"/>
        <v>7979922.57</v>
      </c>
    </row>
    <row r="48" spans="1:9" ht="20.25" customHeight="1">
      <c r="A48" s="20"/>
      <c r="B48" s="20"/>
      <c r="C48" s="20" t="s">
        <v>34</v>
      </c>
      <c r="D48" s="21">
        <f t="shared" si="11"/>
        <v>199</v>
      </c>
      <c r="E48" s="21">
        <f t="shared" si="10"/>
        <v>5</v>
      </c>
      <c r="F48" s="21">
        <f t="shared" si="10"/>
        <v>204</v>
      </c>
      <c r="G48" s="61">
        <f t="shared" si="12"/>
        <v>3730472.3600000003</v>
      </c>
      <c r="H48" s="61">
        <f t="shared" si="12"/>
        <v>102847.77999999997</v>
      </c>
      <c r="I48" s="61">
        <f t="shared" si="12"/>
        <v>3833320.1400000006</v>
      </c>
    </row>
    <row r="49" spans="1:9" ht="49.5">
      <c r="A49" s="50">
        <v>150007</v>
      </c>
      <c r="B49" s="50" t="s">
        <v>127</v>
      </c>
      <c r="C49" s="50"/>
      <c r="D49" s="51"/>
      <c r="E49" s="51"/>
      <c r="F49" s="51"/>
      <c r="G49" s="51"/>
      <c r="H49" s="51"/>
      <c r="I49" s="51"/>
    </row>
    <row r="50" spans="1:9" ht="16.5">
      <c r="A50" s="50"/>
      <c r="B50" s="50"/>
      <c r="C50" s="50" t="s">
        <v>43</v>
      </c>
      <c r="D50" s="51"/>
      <c r="E50" s="51"/>
      <c r="F50" s="51"/>
      <c r="G50" s="52"/>
      <c r="H50" s="52"/>
      <c r="I50" s="52"/>
    </row>
    <row r="51" spans="1:9" ht="16.5">
      <c r="A51" s="50"/>
      <c r="B51" s="50"/>
      <c r="C51" s="50" t="s">
        <v>22</v>
      </c>
      <c r="D51" s="51"/>
      <c r="E51" s="51"/>
      <c r="F51" s="51"/>
      <c r="G51" s="52"/>
      <c r="H51" s="52"/>
      <c r="I51" s="52"/>
    </row>
    <row r="52" spans="1:9" ht="16.5">
      <c r="A52" s="50"/>
      <c r="B52" s="50"/>
      <c r="C52" s="50" t="s">
        <v>25</v>
      </c>
      <c r="D52" s="51">
        <v>30</v>
      </c>
      <c r="E52" s="51">
        <v>6</v>
      </c>
      <c r="F52" s="51">
        <f aca="true" t="shared" si="13" ref="F52:F58">SUM(D52:E52)</f>
        <v>36</v>
      </c>
      <c r="G52" s="52">
        <f>5960232.03-G63</f>
        <v>506535.2999999998</v>
      </c>
      <c r="H52" s="52">
        <f>219498.63-H63</f>
        <v>101307.06</v>
      </c>
      <c r="I52" s="52">
        <f aca="true" t="shared" si="14" ref="I52:I58">SUM(G52:H52)</f>
        <v>607842.3599999999</v>
      </c>
    </row>
    <row r="53" spans="1:9" ht="16.5">
      <c r="A53" s="50"/>
      <c r="B53" s="50"/>
      <c r="C53" s="50" t="s">
        <v>49</v>
      </c>
      <c r="D53" s="51">
        <v>110</v>
      </c>
      <c r="E53" s="51">
        <v>30</v>
      </c>
      <c r="F53" s="51">
        <f t="shared" si="13"/>
        <v>140</v>
      </c>
      <c r="G53" s="52">
        <f>18442322.64-G64</f>
        <v>1694783.2000000011</v>
      </c>
      <c r="H53" s="52">
        <f>2742467.36-H64</f>
        <v>462213.6000000001</v>
      </c>
      <c r="I53" s="52">
        <f t="shared" si="14"/>
        <v>2156996.800000001</v>
      </c>
    </row>
    <row r="54" spans="1:9" ht="16.5">
      <c r="A54" s="50"/>
      <c r="B54" s="50"/>
      <c r="C54" s="50" t="s">
        <v>28</v>
      </c>
      <c r="D54" s="51">
        <v>150</v>
      </c>
      <c r="E54" s="51">
        <v>33</v>
      </c>
      <c r="F54" s="51">
        <f t="shared" si="13"/>
        <v>183</v>
      </c>
      <c r="G54" s="52">
        <f>11302072.6-G65</f>
        <v>2849262</v>
      </c>
      <c r="H54" s="52">
        <f>1785537.52-H65</f>
        <v>626837.6400000001</v>
      </c>
      <c r="I54" s="52">
        <f t="shared" si="14"/>
        <v>3476099.64</v>
      </c>
    </row>
    <row r="55" spans="1:9" ht="16.5">
      <c r="A55" s="50"/>
      <c r="B55" s="50"/>
      <c r="C55" s="50" t="s">
        <v>30</v>
      </c>
      <c r="D55" s="51">
        <v>99</v>
      </c>
      <c r="E55" s="51">
        <v>30</v>
      </c>
      <c r="F55" s="51">
        <f t="shared" si="13"/>
        <v>129</v>
      </c>
      <c r="G55" s="52">
        <f>3238661.25-G66</f>
        <v>1943196.75</v>
      </c>
      <c r="H55" s="52">
        <f>647732.25-H66</f>
        <v>588847.5</v>
      </c>
      <c r="I55" s="52">
        <f t="shared" si="14"/>
        <v>2532044.25</v>
      </c>
    </row>
    <row r="56" spans="1:9" ht="16.5">
      <c r="A56" s="50"/>
      <c r="B56" s="50"/>
      <c r="C56" s="50" t="s">
        <v>31</v>
      </c>
      <c r="D56" s="51">
        <v>20</v>
      </c>
      <c r="E56" s="51">
        <v>6</v>
      </c>
      <c r="F56" s="51">
        <f t="shared" si="13"/>
        <v>26</v>
      </c>
      <c r="G56" s="52">
        <f>1861517.7-G67</f>
        <v>413670.59999999986</v>
      </c>
      <c r="H56" s="52">
        <f>248202.36-H67</f>
        <v>124101.18</v>
      </c>
      <c r="I56" s="52">
        <f t="shared" si="14"/>
        <v>537771.7799999998</v>
      </c>
    </row>
    <row r="57" spans="1:9" ht="23.25" customHeight="1">
      <c r="A57" s="50"/>
      <c r="B57" s="50"/>
      <c r="C57" s="50" t="s">
        <v>34</v>
      </c>
      <c r="D57" s="51">
        <v>367</v>
      </c>
      <c r="E57" s="51">
        <v>100</v>
      </c>
      <c r="F57" s="51">
        <f t="shared" si="13"/>
        <v>467</v>
      </c>
      <c r="G57" s="52">
        <f>11059354.05-G68</f>
        <v>6196615.170000001</v>
      </c>
      <c r="H57" s="52">
        <f>2059910.22-H68</f>
        <v>1688451</v>
      </c>
      <c r="I57" s="52">
        <f t="shared" si="14"/>
        <v>7885066.170000001</v>
      </c>
    </row>
    <row r="58" spans="1:9" ht="23.25" customHeight="1">
      <c r="A58" s="50"/>
      <c r="B58" s="50"/>
      <c r="C58" s="20" t="s">
        <v>32</v>
      </c>
      <c r="D58" s="51">
        <v>300</v>
      </c>
      <c r="E58" s="51">
        <v>62</v>
      </c>
      <c r="F58" s="51">
        <f t="shared" si="13"/>
        <v>362</v>
      </c>
      <c r="G58" s="52">
        <f>8674419-G69</f>
        <v>8674419</v>
      </c>
      <c r="H58" s="52">
        <f>1792713.26-H69</f>
        <v>1792713.26</v>
      </c>
      <c r="I58" s="52">
        <f t="shared" si="14"/>
        <v>10467132.26</v>
      </c>
    </row>
    <row r="59" spans="1:9" ht="25.5" customHeight="1">
      <c r="A59" s="20"/>
      <c r="B59" s="96" t="s">
        <v>128</v>
      </c>
      <c r="C59" s="96"/>
      <c r="D59" s="12">
        <f aca="true" t="shared" si="15" ref="D59:I59">SUM(D50:D58)</f>
        <v>1076</v>
      </c>
      <c r="E59" s="12">
        <f t="shared" si="15"/>
        <v>267</v>
      </c>
      <c r="F59" s="12">
        <f t="shared" si="15"/>
        <v>1343</v>
      </c>
      <c r="G59" s="13">
        <f t="shared" si="15"/>
        <v>22278482.020000003</v>
      </c>
      <c r="H59" s="13">
        <f t="shared" si="15"/>
        <v>5384471.24</v>
      </c>
      <c r="I59" s="13">
        <f t="shared" si="15"/>
        <v>27662953.259999998</v>
      </c>
    </row>
    <row r="60" spans="1:9" ht="34.5" customHeight="1">
      <c r="A60" s="26"/>
      <c r="B60" s="89" t="s">
        <v>129</v>
      </c>
      <c r="C60" s="89"/>
      <c r="D60" s="49">
        <v>2626</v>
      </c>
      <c r="E60" s="49">
        <v>274</v>
      </c>
      <c r="F60" s="49">
        <v>2900</v>
      </c>
      <c r="G60" s="28">
        <v>44934968.19</v>
      </c>
      <c r="H60" s="28">
        <v>4630789.2</v>
      </c>
      <c r="I60" s="28">
        <v>49565757.39</v>
      </c>
    </row>
    <row r="61" spans="1:9" ht="16.5">
      <c r="A61" s="20"/>
      <c r="B61" s="20"/>
      <c r="C61" s="50" t="s">
        <v>43</v>
      </c>
      <c r="D61" s="51">
        <v>154</v>
      </c>
      <c r="E61" s="51">
        <v>12</v>
      </c>
      <c r="F61" s="51">
        <f>D61+E61</f>
        <v>166</v>
      </c>
      <c r="G61" s="52">
        <v>2112675.18</v>
      </c>
      <c r="H61" s="52">
        <v>164624.04</v>
      </c>
      <c r="I61" s="52">
        <f>G61+H61</f>
        <v>2277299.22</v>
      </c>
    </row>
    <row r="62" spans="1:9" ht="16.5">
      <c r="A62" s="20"/>
      <c r="B62" s="20"/>
      <c r="C62" s="50" t="s">
        <v>22</v>
      </c>
      <c r="D62" s="51">
        <v>193</v>
      </c>
      <c r="E62" s="51">
        <v>15</v>
      </c>
      <c r="F62" s="51">
        <f aca="true" t="shared" si="16" ref="F62:F68">D62+E62</f>
        <v>208</v>
      </c>
      <c r="G62" s="52">
        <v>4562195.76</v>
      </c>
      <c r="H62" s="52">
        <v>354574.8</v>
      </c>
      <c r="I62" s="52">
        <f aca="true" t="shared" si="17" ref="I62:I68">G62+H62</f>
        <v>4916770.56</v>
      </c>
    </row>
    <row r="63" spans="1:9" ht="16.5">
      <c r="A63" s="20"/>
      <c r="B63" s="20"/>
      <c r="C63" s="50" t="s">
        <v>25</v>
      </c>
      <c r="D63" s="51">
        <v>323</v>
      </c>
      <c r="E63" s="51">
        <v>7</v>
      </c>
      <c r="F63" s="51">
        <f t="shared" si="16"/>
        <v>330</v>
      </c>
      <c r="G63" s="52">
        <v>5453696.73</v>
      </c>
      <c r="H63" s="52">
        <v>118191.57</v>
      </c>
      <c r="I63" s="52">
        <f t="shared" si="17"/>
        <v>5571888.300000001</v>
      </c>
    </row>
    <row r="64" spans="1:9" ht="16.5">
      <c r="A64" s="20"/>
      <c r="B64" s="20"/>
      <c r="C64" s="50" t="s">
        <v>49</v>
      </c>
      <c r="D64" s="51">
        <v>1087</v>
      </c>
      <c r="E64" s="51">
        <v>148</v>
      </c>
      <c r="F64" s="51">
        <f t="shared" si="16"/>
        <v>1235</v>
      </c>
      <c r="G64" s="52">
        <v>16747539.44</v>
      </c>
      <c r="H64" s="52">
        <v>2280253.76</v>
      </c>
      <c r="I64" s="52">
        <f t="shared" si="17"/>
        <v>19027793.2</v>
      </c>
    </row>
    <row r="65" spans="1:9" ht="16.5">
      <c r="A65" s="20"/>
      <c r="B65" s="20"/>
      <c r="C65" s="50" t="s">
        <v>28</v>
      </c>
      <c r="D65" s="51">
        <v>445</v>
      </c>
      <c r="E65" s="51">
        <v>61</v>
      </c>
      <c r="F65" s="51">
        <f t="shared" si="16"/>
        <v>506</v>
      </c>
      <c r="G65" s="52">
        <v>8452810.6</v>
      </c>
      <c r="H65" s="52">
        <v>1158699.88</v>
      </c>
      <c r="I65" s="52">
        <f t="shared" si="17"/>
        <v>9611510.48</v>
      </c>
    </row>
    <row r="66" spans="1:9" ht="16.5">
      <c r="A66" s="20"/>
      <c r="B66" s="20"/>
      <c r="C66" s="50" t="s">
        <v>30</v>
      </c>
      <c r="D66" s="51">
        <v>66</v>
      </c>
      <c r="E66" s="51">
        <v>3</v>
      </c>
      <c r="F66" s="51">
        <f t="shared" si="16"/>
        <v>69</v>
      </c>
      <c r="G66" s="52">
        <v>1295464.5</v>
      </c>
      <c r="H66" s="52">
        <v>58884.75</v>
      </c>
      <c r="I66" s="52">
        <f t="shared" si="17"/>
        <v>1354349.25</v>
      </c>
    </row>
    <row r="67" spans="1:9" ht="16.5">
      <c r="A67" s="20"/>
      <c r="B67" s="20"/>
      <c r="C67" s="50" t="s">
        <v>31</v>
      </c>
      <c r="D67" s="51">
        <v>70</v>
      </c>
      <c r="E67" s="51">
        <v>6</v>
      </c>
      <c r="F67" s="51">
        <f t="shared" si="16"/>
        <v>76</v>
      </c>
      <c r="G67" s="52">
        <v>1447847.1</v>
      </c>
      <c r="H67" s="52">
        <v>124101.18</v>
      </c>
      <c r="I67" s="52">
        <f t="shared" si="17"/>
        <v>1571948.28</v>
      </c>
    </row>
    <row r="68" spans="1:10" ht="21.75" customHeight="1">
      <c r="A68" s="20"/>
      <c r="B68" s="20"/>
      <c r="C68" s="50" t="s">
        <v>34</v>
      </c>
      <c r="D68" s="51">
        <v>288</v>
      </c>
      <c r="E68" s="51">
        <v>22</v>
      </c>
      <c r="F68" s="51">
        <f t="shared" si="16"/>
        <v>310</v>
      </c>
      <c r="G68" s="52">
        <v>4862738.88</v>
      </c>
      <c r="H68" s="52">
        <v>371459.22</v>
      </c>
      <c r="I68" s="52">
        <f t="shared" si="17"/>
        <v>5234198.1</v>
      </c>
      <c r="J68" s="31"/>
    </row>
    <row r="69" spans="1:9" ht="21.75" customHeight="1">
      <c r="A69" s="20"/>
      <c r="B69" s="20"/>
      <c r="C69" s="20" t="s">
        <v>32</v>
      </c>
      <c r="D69" s="51"/>
      <c r="E69" s="51"/>
      <c r="F69" s="51"/>
      <c r="G69" s="52"/>
      <c r="H69" s="52"/>
      <c r="I69" s="52"/>
    </row>
    <row r="70" spans="1:9" ht="33" customHeight="1">
      <c r="A70" s="20"/>
      <c r="B70" s="97" t="s">
        <v>130</v>
      </c>
      <c r="C70" s="97"/>
      <c r="D70" s="58">
        <f aca="true" t="shared" si="18" ref="D70:I70">D60+D59</f>
        <v>3702</v>
      </c>
      <c r="E70" s="58">
        <f t="shared" si="18"/>
        <v>541</v>
      </c>
      <c r="F70" s="58">
        <f t="shared" si="18"/>
        <v>4243</v>
      </c>
      <c r="G70" s="44">
        <f t="shared" si="18"/>
        <v>67213450.21000001</v>
      </c>
      <c r="H70" s="44">
        <f t="shared" si="18"/>
        <v>10015260.440000001</v>
      </c>
      <c r="I70" s="44">
        <f t="shared" si="18"/>
        <v>77228710.65</v>
      </c>
    </row>
    <row r="71" spans="1:9" ht="16.5">
      <c r="A71" s="20"/>
      <c r="B71" s="20"/>
      <c r="C71" s="50" t="s">
        <v>43</v>
      </c>
      <c r="D71" s="57">
        <f aca="true" t="shared" si="19" ref="D71:E79">D61+D50</f>
        <v>154</v>
      </c>
      <c r="E71" s="57">
        <f t="shared" si="19"/>
        <v>12</v>
      </c>
      <c r="F71" s="57">
        <f>SUM(D71:E71)</f>
        <v>166</v>
      </c>
      <c r="G71" s="42">
        <f aca="true" t="shared" si="20" ref="G71:I77">G61+G50</f>
        <v>2112675.18</v>
      </c>
      <c r="H71" s="42">
        <f t="shared" si="20"/>
        <v>164624.04</v>
      </c>
      <c r="I71" s="42">
        <f t="shared" si="20"/>
        <v>2277299.22</v>
      </c>
    </row>
    <row r="72" spans="1:9" ht="16.5">
      <c r="A72" s="20"/>
      <c r="B72" s="20"/>
      <c r="C72" s="50" t="s">
        <v>22</v>
      </c>
      <c r="D72" s="57">
        <f t="shared" si="19"/>
        <v>193</v>
      </c>
      <c r="E72" s="57">
        <f t="shared" si="19"/>
        <v>15</v>
      </c>
      <c r="F72" s="57">
        <f aca="true" t="shared" si="21" ref="F72:F79">SUM(D72:E72)</f>
        <v>208</v>
      </c>
      <c r="G72" s="42">
        <f t="shared" si="20"/>
        <v>4562195.76</v>
      </c>
      <c r="H72" s="42">
        <f t="shared" si="20"/>
        <v>354574.8</v>
      </c>
      <c r="I72" s="42">
        <f t="shared" si="20"/>
        <v>4916770.56</v>
      </c>
    </row>
    <row r="73" spans="1:9" ht="16.5">
      <c r="A73" s="20"/>
      <c r="B73" s="20"/>
      <c r="C73" s="50" t="s">
        <v>25</v>
      </c>
      <c r="D73" s="57">
        <f t="shared" si="19"/>
        <v>353</v>
      </c>
      <c r="E73" s="57">
        <f t="shared" si="19"/>
        <v>13</v>
      </c>
      <c r="F73" s="57">
        <f t="shared" si="21"/>
        <v>366</v>
      </c>
      <c r="G73" s="42">
        <f t="shared" si="20"/>
        <v>5960232.03</v>
      </c>
      <c r="H73" s="42">
        <f t="shared" si="20"/>
        <v>219498.63</v>
      </c>
      <c r="I73" s="42">
        <f t="shared" si="20"/>
        <v>6179730.66</v>
      </c>
    </row>
    <row r="74" spans="1:9" ht="16.5">
      <c r="A74" s="20"/>
      <c r="B74" s="20"/>
      <c r="C74" s="50" t="s">
        <v>49</v>
      </c>
      <c r="D74" s="57">
        <f t="shared" si="19"/>
        <v>1197</v>
      </c>
      <c r="E74" s="57">
        <f t="shared" si="19"/>
        <v>178</v>
      </c>
      <c r="F74" s="57">
        <f t="shared" si="21"/>
        <v>1375</v>
      </c>
      <c r="G74" s="42">
        <f t="shared" si="20"/>
        <v>18442322.64</v>
      </c>
      <c r="H74" s="42">
        <f t="shared" si="20"/>
        <v>2742467.36</v>
      </c>
      <c r="I74" s="42">
        <f t="shared" si="20"/>
        <v>21184790</v>
      </c>
    </row>
    <row r="75" spans="1:9" ht="16.5">
      <c r="A75" s="20"/>
      <c r="B75" s="20"/>
      <c r="C75" s="50" t="s">
        <v>28</v>
      </c>
      <c r="D75" s="57">
        <f t="shared" si="19"/>
        <v>595</v>
      </c>
      <c r="E75" s="57">
        <f t="shared" si="19"/>
        <v>94</v>
      </c>
      <c r="F75" s="57">
        <f t="shared" si="21"/>
        <v>689</v>
      </c>
      <c r="G75" s="42">
        <f t="shared" si="20"/>
        <v>11302072.6</v>
      </c>
      <c r="H75" s="42">
        <f t="shared" si="20"/>
        <v>1785537.52</v>
      </c>
      <c r="I75" s="42">
        <f t="shared" si="20"/>
        <v>13087610.120000001</v>
      </c>
    </row>
    <row r="76" spans="1:9" ht="16.5">
      <c r="A76" s="20"/>
      <c r="B76" s="20"/>
      <c r="C76" s="50" t="s">
        <v>30</v>
      </c>
      <c r="D76" s="57">
        <f t="shared" si="19"/>
        <v>165</v>
      </c>
      <c r="E76" s="57">
        <f t="shared" si="19"/>
        <v>33</v>
      </c>
      <c r="F76" s="57">
        <f t="shared" si="21"/>
        <v>198</v>
      </c>
      <c r="G76" s="42">
        <f t="shared" si="20"/>
        <v>3238661.25</v>
      </c>
      <c r="H76" s="42">
        <f t="shared" si="20"/>
        <v>647732.25</v>
      </c>
      <c r="I76" s="42">
        <f t="shared" si="20"/>
        <v>3886393.5</v>
      </c>
    </row>
    <row r="77" spans="1:9" ht="16.5">
      <c r="A77" s="20"/>
      <c r="B77" s="20"/>
      <c r="C77" s="50" t="s">
        <v>31</v>
      </c>
      <c r="D77" s="57">
        <f t="shared" si="19"/>
        <v>90</v>
      </c>
      <c r="E77" s="57">
        <f t="shared" si="19"/>
        <v>12</v>
      </c>
      <c r="F77" s="57">
        <f t="shared" si="21"/>
        <v>102</v>
      </c>
      <c r="G77" s="42">
        <f t="shared" si="20"/>
        <v>1861517.7</v>
      </c>
      <c r="H77" s="42">
        <f t="shared" si="20"/>
        <v>248202.36</v>
      </c>
      <c r="I77" s="42">
        <f t="shared" si="20"/>
        <v>2109720.0599999996</v>
      </c>
    </row>
    <row r="78" spans="1:9" ht="21" customHeight="1">
      <c r="A78" s="20"/>
      <c r="B78" s="20"/>
      <c r="C78" s="50" t="s">
        <v>34</v>
      </c>
      <c r="D78" s="57">
        <f t="shared" si="19"/>
        <v>655</v>
      </c>
      <c r="E78" s="57">
        <f t="shared" si="19"/>
        <v>122</v>
      </c>
      <c r="F78" s="57">
        <f t="shared" si="21"/>
        <v>777</v>
      </c>
      <c r="G78" s="42">
        <f aca="true" t="shared" si="22" ref="G78:I79">G68+G57</f>
        <v>11059354.05</v>
      </c>
      <c r="H78" s="42">
        <f t="shared" si="22"/>
        <v>2059910.22</v>
      </c>
      <c r="I78" s="42">
        <f t="shared" si="22"/>
        <v>13119264.27</v>
      </c>
    </row>
    <row r="79" spans="1:9" ht="21" customHeight="1">
      <c r="A79" s="20"/>
      <c r="B79" s="20"/>
      <c r="C79" s="20" t="s">
        <v>32</v>
      </c>
      <c r="D79" s="57">
        <f t="shared" si="19"/>
        <v>300</v>
      </c>
      <c r="E79" s="57">
        <f t="shared" si="19"/>
        <v>62</v>
      </c>
      <c r="F79" s="57">
        <f t="shared" si="21"/>
        <v>362</v>
      </c>
      <c r="G79" s="42">
        <f t="shared" si="22"/>
        <v>8674419</v>
      </c>
      <c r="H79" s="42">
        <f t="shared" si="22"/>
        <v>1792713.26</v>
      </c>
      <c r="I79" s="42">
        <f t="shared" si="22"/>
        <v>10467132.26</v>
      </c>
    </row>
    <row r="80" spans="1:9" ht="47.25">
      <c r="A80" s="20">
        <v>150010</v>
      </c>
      <c r="B80" s="20" t="s">
        <v>8</v>
      </c>
      <c r="C80" s="20"/>
      <c r="D80" s="21"/>
      <c r="E80" s="21"/>
      <c r="F80" s="21"/>
      <c r="G80" s="61"/>
      <c r="H80" s="61"/>
      <c r="I80" s="61"/>
    </row>
    <row r="81" spans="1:9" ht="16.5">
      <c r="A81" s="20"/>
      <c r="B81" s="20"/>
      <c r="C81" s="50" t="s">
        <v>43</v>
      </c>
      <c r="D81" s="51"/>
      <c r="E81" s="51"/>
      <c r="F81" s="51"/>
      <c r="G81" s="52"/>
      <c r="H81" s="52"/>
      <c r="I81" s="52"/>
    </row>
    <row r="82" spans="1:9" ht="16.5">
      <c r="A82" s="20"/>
      <c r="B82" s="20"/>
      <c r="C82" s="50" t="s">
        <v>22</v>
      </c>
      <c r="D82" s="51">
        <v>40</v>
      </c>
      <c r="E82" s="51">
        <v>10</v>
      </c>
      <c r="F82" s="51">
        <f>SUM(D82:E82)</f>
        <v>50</v>
      </c>
      <c r="G82" s="52">
        <f>5011323.84-G90</f>
        <v>945532.7999999998</v>
      </c>
      <c r="H82" s="52">
        <f>283659.84-H90</f>
        <v>236383.2</v>
      </c>
      <c r="I82" s="52">
        <f>SUM(G82:H82)</f>
        <v>1181915.9999999998</v>
      </c>
    </row>
    <row r="83" spans="1:9" ht="16.5">
      <c r="A83" s="20"/>
      <c r="B83" s="20"/>
      <c r="C83" s="50" t="s">
        <v>25</v>
      </c>
      <c r="D83" s="51">
        <v>40</v>
      </c>
      <c r="E83" s="51">
        <v>10</v>
      </c>
      <c r="F83" s="51">
        <f>SUM(D83:E83)</f>
        <v>50</v>
      </c>
      <c r="G83" s="52">
        <f>4153589.46-G91</f>
        <v>675380.3999999999</v>
      </c>
      <c r="H83" s="52">
        <f>202614.12-H91</f>
        <v>168845.1</v>
      </c>
      <c r="I83" s="52">
        <f>SUM(G83:H83)</f>
        <v>844225.4999999999</v>
      </c>
    </row>
    <row r="84" spans="1:9" ht="16.5">
      <c r="A84" s="20"/>
      <c r="B84" s="20"/>
      <c r="C84" s="50" t="s">
        <v>49</v>
      </c>
      <c r="D84" s="51">
        <v>50</v>
      </c>
      <c r="E84" s="51">
        <v>10</v>
      </c>
      <c r="F84" s="51">
        <f>SUM(D84:E84)</f>
        <v>60</v>
      </c>
      <c r="G84" s="52">
        <f>7826816.96-G92</f>
        <v>770356</v>
      </c>
      <c r="H84" s="52">
        <f>231106.8-H92</f>
        <v>154071.19999999998</v>
      </c>
      <c r="I84" s="52">
        <f>SUM(G84:H84)</f>
        <v>924427.2</v>
      </c>
    </row>
    <row r="85" spans="1:9" ht="16.5">
      <c r="A85" s="20"/>
      <c r="B85" s="20"/>
      <c r="C85" s="50" t="s">
        <v>28</v>
      </c>
      <c r="D85" s="51"/>
      <c r="E85" s="51"/>
      <c r="F85" s="51"/>
      <c r="G85" s="52"/>
      <c r="H85" s="52"/>
      <c r="I85" s="52"/>
    </row>
    <row r="86" spans="1:9" ht="33">
      <c r="A86" s="20"/>
      <c r="B86" s="20"/>
      <c r="C86" s="50" t="s">
        <v>34</v>
      </c>
      <c r="D86" s="51"/>
      <c r="E86" s="51"/>
      <c r="F86" s="51"/>
      <c r="G86" s="52"/>
      <c r="H86" s="52"/>
      <c r="I86" s="52"/>
    </row>
    <row r="87" spans="1:9" s="25" customFormat="1" ht="23.25" customHeight="1">
      <c r="A87" s="24"/>
      <c r="B87" s="96" t="s">
        <v>124</v>
      </c>
      <c r="C87" s="96"/>
      <c r="D87" s="12">
        <f>SUM(D82:D86)</f>
        <v>130</v>
      </c>
      <c r="E87" s="12">
        <f>SUM(E81:E86)</f>
        <v>30</v>
      </c>
      <c r="F87" s="12">
        <f>SUM(F81:F86)</f>
        <v>160</v>
      </c>
      <c r="G87" s="13">
        <f>SUM(G81:G86)</f>
        <v>2391269.1999999997</v>
      </c>
      <c r="H87" s="13">
        <f>SUM(H81:H86)</f>
        <v>559299.5</v>
      </c>
      <c r="I87" s="13">
        <f>SUM(I81:I86)</f>
        <v>2950568.6999999993</v>
      </c>
    </row>
    <row r="88" spans="1:9" ht="32.25" customHeight="1">
      <c r="A88" s="20"/>
      <c r="B88" s="89" t="s">
        <v>125</v>
      </c>
      <c r="C88" s="89"/>
      <c r="D88" s="53">
        <f aca="true" t="shared" si="23" ref="D88:I88">SUM(D89:D94)</f>
        <v>1186</v>
      </c>
      <c r="E88" s="53">
        <f t="shared" si="23"/>
        <v>15</v>
      </c>
      <c r="F88" s="53">
        <f t="shared" si="23"/>
        <v>1201</v>
      </c>
      <c r="G88" s="54">
        <f t="shared" si="23"/>
        <v>20531146.55</v>
      </c>
      <c r="H88" s="54">
        <f t="shared" si="23"/>
        <v>258333.05</v>
      </c>
      <c r="I88" s="54">
        <f t="shared" si="23"/>
        <v>20789479.599999998</v>
      </c>
    </row>
    <row r="89" spans="1:9" ht="16.5">
      <c r="A89" s="20"/>
      <c r="B89" s="20"/>
      <c r="C89" s="50" t="s">
        <v>43</v>
      </c>
      <c r="D89" s="51">
        <v>86</v>
      </c>
      <c r="E89" s="51">
        <v>1</v>
      </c>
      <c r="F89" s="51">
        <f aca="true" t="shared" si="24" ref="F89:F94">D89+E89</f>
        <v>87</v>
      </c>
      <c r="G89" s="52">
        <v>1179805.62</v>
      </c>
      <c r="H89" s="52">
        <v>13718.67</v>
      </c>
      <c r="I89" s="52">
        <f aca="true" t="shared" si="25" ref="I89:I94">G89+H89</f>
        <v>1193524.29</v>
      </c>
    </row>
    <row r="90" spans="1:9" ht="16.5">
      <c r="A90" s="20"/>
      <c r="B90" s="20"/>
      <c r="C90" s="50" t="s">
        <v>22</v>
      </c>
      <c r="D90" s="51">
        <v>172</v>
      </c>
      <c r="E90" s="51">
        <v>2</v>
      </c>
      <c r="F90" s="51">
        <f t="shared" si="24"/>
        <v>174</v>
      </c>
      <c r="G90" s="52">
        <v>4065791.04</v>
      </c>
      <c r="H90" s="52">
        <v>47276.64</v>
      </c>
      <c r="I90" s="52">
        <f t="shared" si="25"/>
        <v>4113067.68</v>
      </c>
    </row>
    <row r="91" spans="1:9" ht="16.5">
      <c r="A91" s="20"/>
      <c r="B91" s="20"/>
      <c r="C91" s="50" t="s">
        <v>25</v>
      </c>
      <c r="D91" s="51">
        <v>206</v>
      </c>
      <c r="E91" s="51">
        <v>2</v>
      </c>
      <c r="F91" s="51">
        <f t="shared" si="24"/>
        <v>208</v>
      </c>
      <c r="G91" s="52">
        <v>3478209.06</v>
      </c>
      <c r="H91" s="52">
        <v>33769.02</v>
      </c>
      <c r="I91" s="52">
        <f t="shared" si="25"/>
        <v>3511978.08</v>
      </c>
    </row>
    <row r="92" spans="1:9" ht="16.5">
      <c r="A92" s="20"/>
      <c r="B92" s="20"/>
      <c r="C92" s="50" t="s">
        <v>49</v>
      </c>
      <c r="D92" s="51">
        <v>458</v>
      </c>
      <c r="E92" s="51">
        <v>5</v>
      </c>
      <c r="F92" s="51">
        <f t="shared" si="24"/>
        <v>463</v>
      </c>
      <c r="G92" s="52">
        <v>7056460.96</v>
      </c>
      <c r="H92" s="52">
        <v>77035.6</v>
      </c>
      <c r="I92" s="52">
        <f t="shared" si="25"/>
        <v>7133496.56</v>
      </c>
    </row>
    <row r="93" spans="1:9" ht="16.5">
      <c r="A93" s="20"/>
      <c r="B93" s="20"/>
      <c r="C93" s="50" t="s">
        <v>28</v>
      </c>
      <c r="D93" s="51">
        <v>139</v>
      </c>
      <c r="E93" s="51">
        <v>1</v>
      </c>
      <c r="F93" s="51">
        <f t="shared" si="24"/>
        <v>140</v>
      </c>
      <c r="G93" s="52">
        <v>2640316.12</v>
      </c>
      <c r="H93" s="52">
        <v>18995.08</v>
      </c>
      <c r="I93" s="52">
        <f t="shared" si="25"/>
        <v>2659311.2</v>
      </c>
    </row>
    <row r="94" spans="1:9" ht="33">
      <c r="A94" s="20"/>
      <c r="B94" s="20"/>
      <c r="C94" s="50" t="s">
        <v>34</v>
      </c>
      <c r="D94" s="51">
        <v>125</v>
      </c>
      <c r="E94" s="51">
        <v>4</v>
      </c>
      <c r="F94" s="51">
        <f t="shared" si="24"/>
        <v>129</v>
      </c>
      <c r="G94" s="52">
        <v>2110563.75</v>
      </c>
      <c r="H94" s="52">
        <v>67538.04</v>
      </c>
      <c r="I94" s="52">
        <f t="shared" si="25"/>
        <v>2178101.79</v>
      </c>
    </row>
    <row r="95" spans="1:9" s="25" customFormat="1" ht="33.75" customHeight="1">
      <c r="A95" s="24"/>
      <c r="B95" s="97" t="s">
        <v>126</v>
      </c>
      <c r="C95" s="97"/>
      <c r="D95" s="12">
        <f aca="true" t="shared" si="26" ref="D95:I95">D88+D87</f>
        <v>1316</v>
      </c>
      <c r="E95" s="12">
        <f t="shared" si="26"/>
        <v>45</v>
      </c>
      <c r="F95" s="12">
        <f t="shared" si="26"/>
        <v>1361</v>
      </c>
      <c r="G95" s="13">
        <f t="shared" si="26"/>
        <v>22922415.75</v>
      </c>
      <c r="H95" s="13">
        <f t="shared" si="26"/>
        <v>817632.55</v>
      </c>
      <c r="I95" s="13">
        <f t="shared" si="26"/>
        <v>23740048.299999997</v>
      </c>
    </row>
    <row r="96" spans="1:9" ht="16.5">
      <c r="A96" s="20"/>
      <c r="B96" s="20"/>
      <c r="C96" s="50" t="s">
        <v>43</v>
      </c>
      <c r="D96" s="51">
        <f aca="true" t="shared" si="27" ref="D96:I96">D89+D81</f>
        <v>86</v>
      </c>
      <c r="E96" s="51">
        <f t="shared" si="27"/>
        <v>1</v>
      </c>
      <c r="F96" s="51">
        <f t="shared" si="27"/>
        <v>87</v>
      </c>
      <c r="G96" s="52">
        <f t="shared" si="27"/>
        <v>1179805.62</v>
      </c>
      <c r="H96" s="52">
        <f t="shared" si="27"/>
        <v>13718.67</v>
      </c>
      <c r="I96" s="52">
        <f t="shared" si="27"/>
        <v>1193524.29</v>
      </c>
    </row>
    <row r="97" spans="1:9" ht="16.5">
      <c r="A97" s="20"/>
      <c r="B97" s="20"/>
      <c r="C97" s="50" t="s">
        <v>22</v>
      </c>
      <c r="D97" s="51">
        <f aca="true" t="shared" si="28" ref="D97:I97">D90+D82</f>
        <v>212</v>
      </c>
      <c r="E97" s="51">
        <f t="shared" si="28"/>
        <v>12</v>
      </c>
      <c r="F97" s="51">
        <f t="shared" si="28"/>
        <v>224</v>
      </c>
      <c r="G97" s="52">
        <f t="shared" si="28"/>
        <v>5011323.84</v>
      </c>
      <c r="H97" s="52">
        <f t="shared" si="28"/>
        <v>283659.84</v>
      </c>
      <c r="I97" s="52">
        <f t="shared" si="28"/>
        <v>5294983.68</v>
      </c>
    </row>
    <row r="98" spans="1:9" ht="16.5">
      <c r="A98" s="20"/>
      <c r="B98" s="20"/>
      <c r="C98" s="50" t="s">
        <v>25</v>
      </c>
      <c r="D98" s="51">
        <f aca="true" t="shared" si="29" ref="D98:I98">D91+D83</f>
        <v>246</v>
      </c>
      <c r="E98" s="51">
        <f t="shared" si="29"/>
        <v>12</v>
      </c>
      <c r="F98" s="51">
        <f t="shared" si="29"/>
        <v>258</v>
      </c>
      <c r="G98" s="52">
        <f t="shared" si="29"/>
        <v>4153589.46</v>
      </c>
      <c r="H98" s="52">
        <f t="shared" si="29"/>
        <v>202614.12</v>
      </c>
      <c r="I98" s="52">
        <f t="shared" si="29"/>
        <v>4356203.58</v>
      </c>
    </row>
    <row r="99" spans="1:9" ht="16.5">
      <c r="A99" s="20"/>
      <c r="B99" s="20"/>
      <c r="C99" s="50" t="s">
        <v>49</v>
      </c>
      <c r="D99" s="51">
        <f aca="true" t="shared" si="30" ref="D99:I99">D92+D84</f>
        <v>508</v>
      </c>
      <c r="E99" s="51">
        <f t="shared" si="30"/>
        <v>15</v>
      </c>
      <c r="F99" s="51">
        <f t="shared" si="30"/>
        <v>523</v>
      </c>
      <c r="G99" s="52">
        <f t="shared" si="30"/>
        <v>7826816.96</v>
      </c>
      <c r="H99" s="52">
        <f t="shared" si="30"/>
        <v>231106.8</v>
      </c>
      <c r="I99" s="52">
        <f t="shared" si="30"/>
        <v>8057923.76</v>
      </c>
    </row>
    <row r="100" spans="1:9" ht="16.5">
      <c r="A100" s="20"/>
      <c r="B100" s="20"/>
      <c r="C100" s="50" t="s">
        <v>28</v>
      </c>
      <c r="D100" s="51">
        <f aca="true" t="shared" si="31" ref="D100:I100">D93+D85</f>
        <v>139</v>
      </c>
      <c r="E100" s="51">
        <f t="shared" si="31"/>
        <v>1</v>
      </c>
      <c r="F100" s="51">
        <f t="shared" si="31"/>
        <v>140</v>
      </c>
      <c r="G100" s="52">
        <f t="shared" si="31"/>
        <v>2640316.12</v>
      </c>
      <c r="H100" s="52">
        <f t="shared" si="31"/>
        <v>18995.08</v>
      </c>
      <c r="I100" s="52">
        <f t="shared" si="31"/>
        <v>2659311.2</v>
      </c>
    </row>
    <row r="101" spans="1:9" ht="33">
      <c r="A101" s="20"/>
      <c r="B101" s="20"/>
      <c r="C101" s="50" t="s">
        <v>34</v>
      </c>
      <c r="D101" s="51">
        <f aca="true" t="shared" si="32" ref="D101:I101">D94+D86</f>
        <v>125</v>
      </c>
      <c r="E101" s="51">
        <f t="shared" si="32"/>
        <v>4</v>
      </c>
      <c r="F101" s="51">
        <f t="shared" si="32"/>
        <v>129</v>
      </c>
      <c r="G101" s="52">
        <f t="shared" si="32"/>
        <v>2110563.75</v>
      </c>
      <c r="H101" s="52">
        <f t="shared" si="32"/>
        <v>67538.04</v>
      </c>
      <c r="I101" s="52">
        <f t="shared" si="32"/>
        <v>2178101.79</v>
      </c>
    </row>
    <row r="102" spans="1:9" ht="45.75" customHeight="1">
      <c r="A102" s="20">
        <v>150019</v>
      </c>
      <c r="B102" s="20" t="s">
        <v>9</v>
      </c>
      <c r="C102" s="20"/>
      <c r="D102" s="21"/>
      <c r="E102" s="21"/>
      <c r="F102" s="21"/>
      <c r="G102" s="61"/>
      <c r="H102" s="61"/>
      <c r="I102" s="61"/>
    </row>
    <row r="103" spans="1:9" ht="15.75">
      <c r="A103" s="20"/>
      <c r="B103" s="20"/>
      <c r="C103" s="20" t="s">
        <v>43</v>
      </c>
      <c r="D103" s="21"/>
      <c r="E103" s="21"/>
      <c r="F103" s="21"/>
      <c r="G103" s="61"/>
      <c r="H103" s="61"/>
      <c r="I103" s="61"/>
    </row>
    <row r="104" spans="1:9" ht="15.75">
      <c r="A104" s="20"/>
      <c r="B104" s="20"/>
      <c r="C104" s="20" t="s">
        <v>22</v>
      </c>
      <c r="D104" s="21">
        <v>50</v>
      </c>
      <c r="E104" s="21">
        <v>19</v>
      </c>
      <c r="F104" s="21">
        <f>SUM(D104:E104)</f>
        <v>69</v>
      </c>
      <c r="G104" s="61">
        <f>5200430.4-G112</f>
        <v>1181916.0000000005</v>
      </c>
      <c r="H104" s="61">
        <f>543681.36-H112</f>
        <v>449128.07999999996</v>
      </c>
      <c r="I104" s="61">
        <f>SUM(G104:H104)</f>
        <v>1631044.0800000005</v>
      </c>
    </row>
    <row r="105" spans="1:9" ht="15.75">
      <c r="A105" s="20"/>
      <c r="B105" s="20"/>
      <c r="C105" s="20" t="s">
        <v>25</v>
      </c>
      <c r="D105" s="21">
        <v>130</v>
      </c>
      <c r="E105" s="21">
        <v>20</v>
      </c>
      <c r="F105" s="21">
        <f>SUM(D105:E105)</f>
        <v>150</v>
      </c>
      <c r="G105" s="61">
        <f>6314806.74-G113</f>
        <v>2194986.3000000003</v>
      </c>
      <c r="H105" s="61">
        <f>422112.75-H113</f>
        <v>337690.2</v>
      </c>
      <c r="I105" s="61">
        <f>SUM(G105:H105)</f>
        <v>2532676.5000000005</v>
      </c>
    </row>
    <row r="106" spans="1:9" ht="15.75">
      <c r="A106" s="20"/>
      <c r="B106" s="20"/>
      <c r="C106" s="20" t="s">
        <v>49</v>
      </c>
      <c r="D106" s="21">
        <v>120</v>
      </c>
      <c r="E106" s="21">
        <v>20</v>
      </c>
      <c r="F106" s="21">
        <f>SUM(D106:E106)</f>
        <v>140</v>
      </c>
      <c r="G106" s="61">
        <f>7734374.24-G114</f>
        <v>1848854.4000000004</v>
      </c>
      <c r="H106" s="61">
        <f>369770.88-H114</f>
        <v>308142.4</v>
      </c>
      <c r="I106" s="61">
        <f>SUM(G106:H106)</f>
        <v>2156996.8000000003</v>
      </c>
    </row>
    <row r="107" spans="1:9" ht="15.75">
      <c r="A107" s="20"/>
      <c r="B107" s="20"/>
      <c r="C107" s="20" t="s">
        <v>28</v>
      </c>
      <c r="D107" s="21"/>
      <c r="E107" s="21"/>
      <c r="F107" s="21"/>
      <c r="G107" s="61"/>
      <c r="H107" s="61"/>
      <c r="I107" s="61"/>
    </row>
    <row r="108" spans="1:9" ht="31.5">
      <c r="A108" s="20"/>
      <c r="B108" s="20"/>
      <c r="C108" s="20" t="s">
        <v>34</v>
      </c>
      <c r="D108" s="21"/>
      <c r="E108" s="21"/>
      <c r="F108" s="21"/>
      <c r="G108" s="61"/>
      <c r="H108" s="61"/>
      <c r="I108" s="61"/>
    </row>
    <row r="109" spans="1:9" ht="24" customHeight="1">
      <c r="A109" s="20"/>
      <c r="B109" s="96" t="s">
        <v>121</v>
      </c>
      <c r="C109" s="96"/>
      <c r="D109" s="12">
        <f aca="true" t="shared" si="33" ref="D109:I109">SUM(D103:D108)</f>
        <v>300</v>
      </c>
      <c r="E109" s="12">
        <f t="shared" si="33"/>
        <v>59</v>
      </c>
      <c r="F109" s="12">
        <f t="shared" si="33"/>
        <v>359</v>
      </c>
      <c r="G109" s="13">
        <f t="shared" si="33"/>
        <v>5225756.700000001</v>
      </c>
      <c r="H109" s="13">
        <f t="shared" si="33"/>
        <v>1094960.6800000002</v>
      </c>
      <c r="I109" s="13">
        <f t="shared" si="33"/>
        <v>6320717.380000001</v>
      </c>
    </row>
    <row r="110" spans="1:9" ht="36" customHeight="1">
      <c r="A110" s="20"/>
      <c r="B110" s="89" t="s">
        <v>122</v>
      </c>
      <c r="C110" s="89"/>
      <c r="D110" s="27">
        <v>1679</v>
      </c>
      <c r="E110" s="27">
        <v>21</v>
      </c>
      <c r="F110" s="27">
        <v>1700</v>
      </c>
      <c r="G110" s="28">
        <v>28649009.65</v>
      </c>
      <c r="H110" s="28">
        <v>372514.58</v>
      </c>
      <c r="I110" s="28">
        <v>29021524.23</v>
      </c>
    </row>
    <row r="111" spans="1:9" ht="15.75">
      <c r="A111" s="20"/>
      <c r="B111" s="20"/>
      <c r="C111" s="20" t="s">
        <v>43</v>
      </c>
      <c r="D111" s="21">
        <v>287</v>
      </c>
      <c r="E111" s="21">
        <v>3</v>
      </c>
      <c r="F111" s="21">
        <v>290</v>
      </c>
      <c r="G111" s="61">
        <v>3937258.29</v>
      </c>
      <c r="H111" s="61">
        <v>41156.01</v>
      </c>
      <c r="I111" s="61">
        <v>3978414.3</v>
      </c>
    </row>
    <row r="112" spans="1:9" ht="15.75">
      <c r="A112" s="20"/>
      <c r="B112" s="20"/>
      <c r="C112" s="20" t="s">
        <v>22</v>
      </c>
      <c r="D112" s="21">
        <v>170</v>
      </c>
      <c r="E112" s="21">
        <v>4</v>
      </c>
      <c r="F112" s="21">
        <v>174</v>
      </c>
      <c r="G112" s="61">
        <v>4018514.4</v>
      </c>
      <c r="H112" s="61">
        <v>94553.28</v>
      </c>
      <c r="I112" s="61">
        <v>4113067.68</v>
      </c>
    </row>
    <row r="113" spans="1:9" ht="15.75">
      <c r="A113" s="20"/>
      <c r="B113" s="20"/>
      <c r="C113" s="20" t="s">
        <v>25</v>
      </c>
      <c r="D113" s="21">
        <v>244</v>
      </c>
      <c r="E113" s="21">
        <v>5</v>
      </c>
      <c r="F113" s="21">
        <v>249</v>
      </c>
      <c r="G113" s="61">
        <v>4119820.44</v>
      </c>
      <c r="H113" s="61">
        <v>84422.55</v>
      </c>
      <c r="I113" s="61">
        <v>4204242.99</v>
      </c>
    </row>
    <row r="114" spans="1:9" ht="15.75">
      <c r="A114" s="20"/>
      <c r="B114" s="20"/>
      <c r="C114" s="20" t="s">
        <v>49</v>
      </c>
      <c r="D114" s="21">
        <v>382</v>
      </c>
      <c r="E114" s="21">
        <v>4</v>
      </c>
      <c r="F114" s="21">
        <v>386</v>
      </c>
      <c r="G114" s="61">
        <v>5885519.84</v>
      </c>
      <c r="H114" s="61">
        <v>61628.48</v>
      </c>
      <c r="I114" s="61">
        <v>5947148.32</v>
      </c>
    </row>
    <row r="115" spans="1:9" ht="15.75">
      <c r="A115" s="63"/>
      <c r="B115" s="63"/>
      <c r="C115" s="63" t="s">
        <v>28</v>
      </c>
      <c r="D115" s="21">
        <v>296</v>
      </c>
      <c r="E115" s="21">
        <v>3</v>
      </c>
      <c r="F115" s="21">
        <v>299</v>
      </c>
      <c r="G115" s="61">
        <v>5622543.68</v>
      </c>
      <c r="H115" s="61">
        <v>56985.24</v>
      </c>
      <c r="I115" s="61">
        <v>5679528.92</v>
      </c>
    </row>
    <row r="116" spans="1:9" ht="24.75" customHeight="1">
      <c r="A116" s="20"/>
      <c r="B116" s="20"/>
      <c r="C116" s="20" t="s">
        <v>34</v>
      </c>
      <c r="D116" s="21">
        <v>300</v>
      </c>
      <c r="E116" s="21">
        <v>2</v>
      </c>
      <c r="F116" s="21">
        <v>302</v>
      </c>
      <c r="G116" s="61">
        <v>5065353</v>
      </c>
      <c r="H116" s="61">
        <v>33769.02</v>
      </c>
      <c r="I116" s="61">
        <v>5099122.02</v>
      </c>
    </row>
    <row r="117" spans="1:9" ht="33.75" customHeight="1">
      <c r="A117" s="20"/>
      <c r="B117" s="97" t="s">
        <v>123</v>
      </c>
      <c r="C117" s="97"/>
      <c r="D117" s="12">
        <f aca="true" t="shared" si="34" ref="D117:I117">D110+D109</f>
        <v>1979</v>
      </c>
      <c r="E117" s="12">
        <f t="shared" si="34"/>
        <v>80</v>
      </c>
      <c r="F117" s="12">
        <f t="shared" si="34"/>
        <v>2059</v>
      </c>
      <c r="G117" s="13">
        <f t="shared" si="34"/>
        <v>33874766.35</v>
      </c>
      <c r="H117" s="13">
        <f t="shared" si="34"/>
        <v>1467475.2600000002</v>
      </c>
      <c r="I117" s="13">
        <f t="shared" si="34"/>
        <v>35342241.61</v>
      </c>
    </row>
    <row r="118" spans="1:9" ht="15.75">
      <c r="A118" s="20"/>
      <c r="B118" s="20"/>
      <c r="C118" s="20" t="s">
        <v>43</v>
      </c>
      <c r="D118" s="21">
        <f aca="true" t="shared" si="35" ref="D118:I118">D111+D103</f>
        <v>287</v>
      </c>
      <c r="E118" s="21">
        <f t="shared" si="35"/>
        <v>3</v>
      </c>
      <c r="F118" s="21">
        <f t="shared" si="35"/>
        <v>290</v>
      </c>
      <c r="G118" s="61">
        <f t="shared" si="35"/>
        <v>3937258.29</v>
      </c>
      <c r="H118" s="61">
        <f t="shared" si="35"/>
        <v>41156.01</v>
      </c>
      <c r="I118" s="61">
        <f t="shared" si="35"/>
        <v>3978414.3</v>
      </c>
    </row>
    <row r="119" spans="1:9" ht="15.75">
      <c r="A119" s="20"/>
      <c r="B119" s="20"/>
      <c r="C119" s="20" t="s">
        <v>22</v>
      </c>
      <c r="D119" s="21">
        <f aca="true" t="shared" si="36" ref="D119:I119">D112+D104</f>
        <v>220</v>
      </c>
      <c r="E119" s="21">
        <f t="shared" si="36"/>
        <v>23</v>
      </c>
      <c r="F119" s="21">
        <f t="shared" si="36"/>
        <v>243</v>
      </c>
      <c r="G119" s="61">
        <f t="shared" si="36"/>
        <v>5200430.4</v>
      </c>
      <c r="H119" s="61">
        <f t="shared" si="36"/>
        <v>543681.36</v>
      </c>
      <c r="I119" s="61">
        <f t="shared" si="36"/>
        <v>5744111.760000001</v>
      </c>
    </row>
    <row r="120" spans="1:9" ht="15.75">
      <c r="A120" s="63"/>
      <c r="B120" s="63"/>
      <c r="C120" s="20" t="s">
        <v>25</v>
      </c>
      <c r="D120" s="21">
        <f aca="true" t="shared" si="37" ref="D120:I120">D113+D105</f>
        <v>374</v>
      </c>
      <c r="E120" s="21">
        <f t="shared" si="37"/>
        <v>25</v>
      </c>
      <c r="F120" s="21">
        <f t="shared" si="37"/>
        <v>399</v>
      </c>
      <c r="G120" s="61">
        <f t="shared" si="37"/>
        <v>6314806.74</v>
      </c>
      <c r="H120" s="61">
        <f t="shared" si="37"/>
        <v>422112.75</v>
      </c>
      <c r="I120" s="61">
        <f t="shared" si="37"/>
        <v>6736919.49</v>
      </c>
    </row>
    <row r="121" spans="1:9" ht="15.75">
      <c r="A121" s="20"/>
      <c r="B121" s="20"/>
      <c r="C121" s="20" t="s">
        <v>49</v>
      </c>
      <c r="D121" s="21">
        <f aca="true" t="shared" si="38" ref="D121:I121">D114+D106</f>
        <v>502</v>
      </c>
      <c r="E121" s="21">
        <f t="shared" si="38"/>
        <v>24</v>
      </c>
      <c r="F121" s="21">
        <f t="shared" si="38"/>
        <v>526</v>
      </c>
      <c r="G121" s="61">
        <f t="shared" si="38"/>
        <v>7734374.24</v>
      </c>
      <c r="H121" s="61">
        <f t="shared" si="38"/>
        <v>369770.88</v>
      </c>
      <c r="I121" s="61">
        <f t="shared" si="38"/>
        <v>8104145.120000001</v>
      </c>
    </row>
    <row r="122" spans="1:9" ht="15.75">
      <c r="A122" s="20"/>
      <c r="B122" s="20"/>
      <c r="C122" s="63" t="s">
        <v>28</v>
      </c>
      <c r="D122" s="21">
        <f aca="true" t="shared" si="39" ref="D122:I122">D115+D107</f>
        <v>296</v>
      </c>
      <c r="E122" s="21">
        <f t="shared" si="39"/>
        <v>3</v>
      </c>
      <c r="F122" s="21">
        <f t="shared" si="39"/>
        <v>299</v>
      </c>
      <c r="G122" s="61">
        <f t="shared" si="39"/>
        <v>5622543.68</v>
      </c>
      <c r="H122" s="61">
        <f t="shared" si="39"/>
        <v>56985.24</v>
      </c>
      <c r="I122" s="61">
        <f t="shared" si="39"/>
        <v>5679528.92</v>
      </c>
    </row>
    <row r="123" spans="1:10" ht="31.5">
      <c r="A123" s="20"/>
      <c r="B123" s="20"/>
      <c r="C123" s="20" t="s">
        <v>34</v>
      </c>
      <c r="D123" s="21">
        <f aca="true" t="shared" si="40" ref="D123:I123">D116+D108</f>
        <v>300</v>
      </c>
      <c r="E123" s="21">
        <f t="shared" si="40"/>
        <v>2</v>
      </c>
      <c r="F123" s="21">
        <f t="shared" si="40"/>
        <v>302</v>
      </c>
      <c r="G123" s="61">
        <f t="shared" si="40"/>
        <v>5065353</v>
      </c>
      <c r="H123" s="61">
        <f t="shared" si="40"/>
        <v>33769.02</v>
      </c>
      <c r="I123" s="61">
        <f t="shared" si="40"/>
        <v>5099122.02</v>
      </c>
      <c r="J123" s="31"/>
    </row>
    <row r="124" spans="1:9" s="29" customFormat="1" ht="26.25" customHeight="1">
      <c r="A124" s="98" t="s">
        <v>131</v>
      </c>
      <c r="B124" s="99"/>
      <c r="C124" s="100"/>
      <c r="D124" s="55">
        <v>93254</v>
      </c>
      <c r="E124" s="55">
        <v>16548</v>
      </c>
      <c r="F124" s="55">
        <v>109802</v>
      </c>
      <c r="G124" s="28">
        <v>2408792171.63</v>
      </c>
      <c r="H124" s="28">
        <v>468844874.96</v>
      </c>
      <c r="I124" s="28">
        <v>2877637046.59</v>
      </c>
    </row>
    <row r="125" spans="1:9" ht="42" customHeight="1">
      <c r="A125" s="101" t="s">
        <v>91</v>
      </c>
      <c r="B125" s="102"/>
      <c r="C125" s="103"/>
      <c r="D125" s="56">
        <f>D124+D59+D87+D109+D30</f>
        <v>92946</v>
      </c>
      <c r="E125" s="56">
        <f>E124+E59+E87+E109+E30</f>
        <v>16856</v>
      </c>
      <c r="F125" s="56">
        <f>SUM(D125:E125)</f>
        <v>109802</v>
      </c>
      <c r="G125" s="13">
        <f>G124+G8+G15+G30+G59+G87+G109</f>
        <v>2398548182.6499996</v>
      </c>
      <c r="H125" s="13">
        <f>H124+H8+H15+H30+H59+H87+H109</f>
        <v>475003370.37</v>
      </c>
      <c r="I125" s="13">
        <f>SUM(G125:H125)</f>
        <v>2873551553.0199995</v>
      </c>
    </row>
    <row r="126" spans="4:9" ht="15.75" hidden="1">
      <c r="D126" s="18">
        <f aca="true" t="shared" si="41" ref="D126:I126">D8+D15+D30+D59+D87+D109</f>
        <v>-308</v>
      </c>
      <c r="E126" s="18">
        <f t="shared" si="41"/>
        <v>308</v>
      </c>
      <c r="F126" s="18">
        <f t="shared" si="41"/>
        <v>0</v>
      </c>
      <c r="G126" s="62">
        <f t="shared" si="41"/>
        <v>-10243988.979999995</v>
      </c>
      <c r="H126" s="62">
        <f t="shared" si="41"/>
        <v>6158495.41</v>
      </c>
      <c r="I126" s="62">
        <f t="shared" si="41"/>
        <v>-4085493.570000006</v>
      </c>
    </row>
  </sheetData>
  <sheetProtection/>
  <mergeCells count="27">
    <mergeCell ref="B95:C95"/>
    <mergeCell ref="B59:C59"/>
    <mergeCell ref="B60:C60"/>
    <mergeCell ref="B70:C70"/>
    <mergeCell ref="A124:C124"/>
    <mergeCell ref="A125:C125"/>
    <mergeCell ref="B109:C109"/>
    <mergeCell ref="B110:C110"/>
    <mergeCell ref="B117:C117"/>
    <mergeCell ref="B87:C87"/>
    <mergeCell ref="B88:C88"/>
    <mergeCell ref="B9:C9"/>
    <mergeCell ref="B11:C11"/>
    <mergeCell ref="B8:C8"/>
    <mergeCell ref="B15:C15"/>
    <mergeCell ref="B16:C16"/>
    <mergeCell ref="B18:C18"/>
    <mergeCell ref="B30:C30"/>
    <mergeCell ref="B31:C31"/>
    <mergeCell ref="B40:C40"/>
    <mergeCell ref="D4:F4"/>
    <mergeCell ref="G4:I4"/>
    <mergeCell ref="H1:I1"/>
    <mergeCell ref="A2:I2"/>
    <mergeCell ref="B4:B5"/>
    <mergeCell ref="A4:A5"/>
    <mergeCell ref="C4:C5"/>
  </mergeCells>
  <printOptions horizontalCentered="1"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4.8515625" style="1" customWidth="1"/>
    <col min="2" max="2" width="51.140625" style="10" customWidth="1"/>
    <col min="3" max="5" width="9.140625" style="3" customWidth="1"/>
    <col min="6" max="6" width="17.7109375" style="4" customWidth="1"/>
    <col min="7" max="7" width="16.57421875" style="4" customWidth="1"/>
    <col min="8" max="8" width="17.140625" style="4" customWidth="1"/>
    <col min="9" max="16384" width="9.140625" style="1" customWidth="1"/>
  </cols>
  <sheetData>
    <row r="1" spans="7:8" ht="54.75" customHeight="1">
      <c r="G1" s="107" t="s">
        <v>132</v>
      </c>
      <c r="H1" s="107"/>
    </row>
    <row r="2" spans="1:8" ht="32.25" customHeight="1">
      <c r="A2" s="108" t="s">
        <v>82</v>
      </c>
      <c r="B2" s="108"/>
      <c r="C2" s="108"/>
      <c r="D2" s="108"/>
      <c r="E2" s="108"/>
      <c r="F2" s="108"/>
      <c r="G2" s="108"/>
      <c r="H2" s="108"/>
    </row>
    <row r="4" spans="1:8" ht="32.25" customHeight="1">
      <c r="A4" s="109" t="s">
        <v>18</v>
      </c>
      <c r="B4" s="109" t="s">
        <v>85</v>
      </c>
      <c r="C4" s="105" t="s">
        <v>14</v>
      </c>
      <c r="D4" s="105"/>
      <c r="E4" s="105"/>
      <c r="F4" s="106" t="s">
        <v>74</v>
      </c>
      <c r="G4" s="106"/>
      <c r="H4" s="106"/>
    </row>
    <row r="5" spans="1:8" ht="35.25" customHeight="1">
      <c r="A5" s="110"/>
      <c r="B5" s="110"/>
      <c r="C5" s="7" t="s">
        <v>15</v>
      </c>
      <c r="D5" s="7" t="s">
        <v>16</v>
      </c>
      <c r="E5" s="7" t="s">
        <v>17</v>
      </c>
      <c r="F5" s="8" t="s">
        <v>15</v>
      </c>
      <c r="G5" s="8" t="s">
        <v>16</v>
      </c>
      <c r="H5" s="8" t="s">
        <v>17</v>
      </c>
    </row>
    <row r="6" spans="1:8" ht="15.75">
      <c r="A6" s="2" t="s">
        <v>25</v>
      </c>
      <c r="B6" s="11" t="s">
        <v>1</v>
      </c>
      <c r="C6" s="5"/>
      <c r="D6" s="5"/>
      <c r="E6" s="5"/>
      <c r="F6" s="61"/>
      <c r="G6" s="61"/>
      <c r="H6" s="61"/>
    </row>
    <row r="7" spans="1:8" ht="15.75">
      <c r="A7" s="2"/>
      <c r="B7" s="11" t="s">
        <v>4</v>
      </c>
      <c r="C7" s="5"/>
      <c r="D7" s="5"/>
      <c r="E7" s="5"/>
      <c r="F7" s="61"/>
      <c r="G7" s="61"/>
      <c r="H7" s="61"/>
    </row>
    <row r="8" spans="1:8" ht="15.75">
      <c r="A8" s="2"/>
      <c r="B8" s="11" t="s">
        <v>2</v>
      </c>
      <c r="C8" s="5"/>
      <c r="D8" s="5"/>
      <c r="E8" s="5"/>
      <c r="F8" s="61"/>
      <c r="G8" s="61"/>
      <c r="H8" s="61"/>
    </row>
    <row r="9" spans="1:8" ht="15.75">
      <c r="A9" s="2"/>
      <c r="B9" s="11" t="s">
        <v>5</v>
      </c>
      <c r="C9" s="5"/>
      <c r="D9" s="5"/>
      <c r="E9" s="5"/>
      <c r="F9" s="61"/>
      <c r="G9" s="61"/>
      <c r="H9" s="61"/>
    </row>
    <row r="10" spans="1:8" ht="15.75">
      <c r="A10" s="2"/>
      <c r="B10" s="11" t="s">
        <v>3</v>
      </c>
      <c r="C10" s="5"/>
      <c r="D10" s="5"/>
      <c r="E10" s="5"/>
      <c r="F10" s="61"/>
      <c r="G10" s="61"/>
      <c r="H10" s="61"/>
    </row>
    <row r="11" spans="1:8" ht="15.75">
      <c r="A11" s="2"/>
      <c r="B11" s="11" t="s">
        <v>71</v>
      </c>
      <c r="C11" s="9">
        <v>2952</v>
      </c>
      <c r="D11" s="9">
        <v>648</v>
      </c>
      <c r="E11" s="6">
        <f>SUM(C11:D11)</f>
        <v>3600</v>
      </c>
      <c r="F11" s="61">
        <v>1013421.6000000006</v>
      </c>
      <c r="G11" s="61">
        <v>222458.4</v>
      </c>
      <c r="H11" s="61">
        <f>SUM(F11:G11)</f>
        <v>1235880.0000000005</v>
      </c>
    </row>
    <row r="12" spans="1:8" ht="15.75">
      <c r="A12" s="2"/>
      <c r="B12" s="11" t="s">
        <v>72</v>
      </c>
      <c r="C12" s="5"/>
      <c r="D12" s="5"/>
      <c r="E12" s="5"/>
      <c r="F12" s="61"/>
      <c r="G12" s="61"/>
      <c r="H12" s="61"/>
    </row>
    <row r="13" spans="1:8" ht="15.75">
      <c r="A13" s="2"/>
      <c r="B13" s="11" t="s">
        <v>3</v>
      </c>
      <c r="C13" s="12"/>
      <c r="D13" s="12"/>
      <c r="E13" s="12"/>
      <c r="F13" s="13"/>
      <c r="G13" s="13"/>
      <c r="H13" s="13"/>
    </row>
    <row r="14" spans="1:8" ht="22.5" customHeight="1">
      <c r="A14" s="92" t="s">
        <v>135</v>
      </c>
      <c r="B14" s="93"/>
      <c r="C14" s="71">
        <f aca="true" t="shared" si="0" ref="C14:H14">SUM(C6:C13)</f>
        <v>2952</v>
      </c>
      <c r="D14" s="71">
        <f t="shared" si="0"/>
        <v>648</v>
      </c>
      <c r="E14" s="71">
        <f t="shared" si="0"/>
        <v>3600</v>
      </c>
      <c r="F14" s="72">
        <f t="shared" si="0"/>
        <v>1013421.6000000006</v>
      </c>
      <c r="G14" s="72">
        <f t="shared" si="0"/>
        <v>222458.4</v>
      </c>
      <c r="H14" s="72">
        <f t="shared" si="0"/>
        <v>1235880.0000000005</v>
      </c>
    </row>
    <row r="15" spans="1:8" s="75" customFormat="1" ht="30" customHeight="1">
      <c r="A15" s="104" t="s">
        <v>136</v>
      </c>
      <c r="B15" s="104"/>
      <c r="C15" s="73" t="s">
        <v>83</v>
      </c>
      <c r="D15" s="73" t="s">
        <v>83</v>
      </c>
      <c r="E15" s="73" t="s">
        <v>83</v>
      </c>
      <c r="F15" s="74">
        <v>2276612215.05</v>
      </c>
      <c r="G15" s="74">
        <v>449765169.6</v>
      </c>
      <c r="H15" s="74">
        <v>2726377384.65</v>
      </c>
    </row>
    <row r="16" spans="1:8" ht="30" customHeight="1">
      <c r="A16" s="94" t="s">
        <v>91</v>
      </c>
      <c r="B16" s="95"/>
      <c r="C16" s="5"/>
      <c r="D16" s="5"/>
      <c r="E16" s="5"/>
      <c r="F16" s="72">
        <f>F15+F14</f>
        <v>2277625636.65</v>
      </c>
      <c r="G16" s="72">
        <f>G15+G14</f>
        <v>449987628</v>
      </c>
      <c r="H16" s="72">
        <f>H15+H14</f>
        <v>2727613264.65</v>
      </c>
    </row>
  </sheetData>
  <sheetProtection/>
  <mergeCells count="9">
    <mergeCell ref="A14:B14"/>
    <mergeCell ref="A15:B15"/>
    <mergeCell ref="A16:B16"/>
    <mergeCell ref="C4:E4"/>
    <mergeCell ref="F4:H4"/>
    <mergeCell ref="G1:H1"/>
    <mergeCell ref="A2:H2"/>
    <mergeCell ref="A4:A5"/>
    <mergeCell ref="B4:B5"/>
  </mergeCells>
  <printOptions horizontalCentered="1"/>
  <pageMargins left="0.31496062992125984" right="0.31496062992125984" top="0.1968503937007874" bottom="0.15748031496062992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96"/>
  <sheetViews>
    <sheetView tabSelected="1" zoomScalePageLayoutView="0" workbookViewId="0" topLeftCell="A79">
      <selection activeCell="H91" sqref="H91:J91"/>
    </sheetView>
  </sheetViews>
  <sheetFormatPr defaultColWidth="9.140625" defaultRowHeight="15"/>
  <cols>
    <col min="1" max="1" width="9.140625" style="1" customWidth="1"/>
    <col min="2" max="2" width="24.57421875" style="1" customWidth="1"/>
    <col min="3" max="3" width="42.8515625" style="1" customWidth="1"/>
    <col min="4" max="4" width="25.28125" style="1" customWidth="1"/>
    <col min="5" max="5" width="9.57421875" style="9" customWidth="1"/>
    <col min="6" max="6" width="8.57421875" style="9" customWidth="1"/>
    <col min="7" max="7" width="10.7109375" style="9" customWidth="1"/>
    <col min="8" max="8" width="17.00390625" style="4" customWidth="1"/>
    <col min="9" max="9" width="15.7109375" style="4" customWidth="1"/>
    <col min="10" max="10" width="17.421875" style="4" customWidth="1"/>
    <col min="11" max="16384" width="9.140625" style="1" customWidth="1"/>
  </cols>
  <sheetData>
    <row r="1" spans="5:10" s="16" customFormat="1" ht="60" customHeight="1">
      <c r="E1" s="18"/>
      <c r="F1" s="18"/>
      <c r="G1" s="18"/>
      <c r="H1" s="19"/>
      <c r="I1" s="78" t="s">
        <v>109</v>
      </c>
      <c r="J1" s="78"/>
    </row>
    <row r="2" spans="1:10" s="16" customFormat="1" ht="36.75" customHeight="1">
      <c r="A2" s="112" t="s">
        <v>110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s="16" customFormat="1" ht="28.5" customHeight="1">
      <c r="A3" s="80" t="s">
        <v>84</v>
      </c>
      <c r="B3" s="113" t="s">
        <v>81</v>
      </c>
      <c r="C3" s="115" t="s">
        <v>18</v>
      </c>
      <c r="D3" s="115" t="s">
        <v>70</v>
      </c>
      <c r="E3" s="111" t="s">
        <v>14</v>
      </c>
      <c r="F3" s="111"/>
      <c r="G3" s="111"/>
      <c r="H3" s="111" t="s">
        <v>74</v>
      </c>
      <c r="I3" s="111"/>
      <c r="J3" s="111"/>
    </row>
    <row r="4" spans="1:10" s="16" customFormat="1" ht="25.5" customHeight="1">
      <c r="A4" s="81"/>
      <c r="B4" s="114"/>
      <c r="C4" s="116"/>
      <c r="D4" s="116"/>
      <c r="E4" s="38" t="s">
        <v>15</v>
      </c>
      <c r="F4" s="38" t="s">
        <v>16</v>
      </c>
      <c r="G4" s="38" t="s">
        <v>17</v>
      </c>
      <c r="H4" s="38" t="s">
        <v>15</v>
      </c>
      <c r="I4" s="38" t="s">
        <v>16</v>
      </c>
      <c r="J4" s="38" t="s">
        <v>17</v>
      </c>
    </row>
    <row r="5" spans="1:10" s="16" customFormat="1" ht="39.75" customHeight="1">
      <c r="A5" s="20">
        <v>150045</v>
      </c>
      <c r="B5" s="39" t="s">
        <v>12</v>
      </c>
      <c r="C5" s="20"/>
      <c r="D5" s="20"/>
      <c r="E5" s="21"/>
      <c r="F5" s="21"/>
      <c r="G5" s="21"/>
      <c r="H5" s="22"/>
      <c r="I5" s="22"/>
      <c r="J5" s="22"/>
    </row>
    <row r="6" spans="1:10" s="16" customFormat="1" ht="55.5" customHeight="1">
      <c r="A6" s="20"/>
      <c r="B6" s="20"/>
      <c r="C6" s="23" t="s">
        <v>67</v>
      </c>
      <c r="D6" s="20" t="s">
        <v>6</v>
      </c>
      <c r="E6" s="21">
        <v>120</v>
      </c>
      <c r="F6" s="21">
        <v>30</v>
      </c>
      <c r="G6" s="21">
        <v>150</v>
      </c>
      <c r="H6" s="22">
        <v>27466.8</v>
      </c>
      <c r="I6" s="22">
        <v>6866.7</v>
      </c>
      <c r="J6" s="22">
        <v>34333.5</v>
      </c>
    </row>
    <row r="7" spans="1:10" s="16" customFormat="1" ht="56.25">
      <c r="A7" s="20"/>
      <c r="B7" s="20"/>
      <c r="C7" s="23" t="s">
        <v>68</v>
      </c>
      <c r="D7" s="20" t="s">
        <v>6</v>
      </c>
      <c r="E7" s="21">
        <v>126</v>
      </c>
      <c r="F7" s="21">
        <v>24</v>
      </c>
      <c r="G7" s="21">
        <v>150</v>
      </c>
      <c r="H7" s="22">
        <v>28840.14</v>
      </c>
      <c r="I7" s="22">
        <v>5493.36</v>
      </c>
      <c r="J7" s="22">
        <v>34333.5</v>
      </c>
    </row>
    <row r="8" spans="1:10" s="16" customFormat="1" ht="37.5">
      <c r="A8" s="20"/>
      <c r="B8" s="20"/>
      <c r="C8" s="23" t="s">
        <v>59</v>
      </c>
      <c r="D8" s="20" t="s">
        <v>6</v>
      </c>
      <c r="E8" s="21">
        <v>120</v>
      </c>
      <c r="F8" s="21">
        <v>30</v>
      </c>
      <c r="G8" s="21">
        <v>150</v>
      </c>
      <c r="H8" s="22">
        <v>135909.6</v>
      </c>
      <c r="I8" s="22">
        <v>33977.4</v>
      </c>
      <c r="J8" s="22">
        <v>169887</v>
      </c>
    </row>
    <row r="9" spans="1:10" s="16" customFormat="1" ht="37.5">
      <c r="A9" s="20"/>
      <c r="B9" s="20"/>
      <c r="C9" s="23" t="s">
        <v>60</v>
      </c>
      <c r="D9" s="20" t="s">
        <v>6</v>
      </c>
      <c r="E9" s="21">
        <v>126</v>
      </c>
      <c r="F9" s="21">
        <v>24</v>
      </c>
      <c r="G9" s="21">
        <v>150</v>
      </c>
      <c r="H9" s="22">
        <v>142705.08</v>
      </c>
      <c r="I9" s="22">
        <v>27181.92</v>
      </c>
      <c r="J9" s="22">
        <v>169887</v>
      </c>
    </row>
    <row r="10" spans="1:10" s="16" customFormat="1" ht="37.5">
      <c r="A10" s="20"/>
      <c r="B10" s="20"/>
      <c r="C10" s="23" t="s">
        <v>61</v>
      </c>
      <c r="D10" s="20" t="s">
        <v>6</v>
      </c>
      <c r="E10" s="21">
        <v>120</v>
      </c>
      <c r="F10" s="21">
        <v>30</v>
      </c>
      <c r="G10" s="21">
        <v>150</v>
      </c>
      <c r="H10" s="22">
        <v>59461.2</v>
      </c>
      <c r="I10" s="22">
        <v>14865.3</v>
      </c>
      <c r="J10" s="22">
        <v>74326.5</v>
      </c>
    </row>
    <row r="11" spans="1:10" s="16" customFormat="1" ht="37.5">
      <c r="A11" s="20"/>
      <c r="B11" s="20"/>
      <c r="C11" s="23" t="s">
        <v>62</v>
      </c>
      <c r="D11" s="20" t="s">
        <v>6</v>
      </c>
      <c r="E11" s="21">
        <v>126</v>
      </c>
      <c r="F11" s="21">
        <v>24</v>
      </c>
      <c r="G11" s="21">
        <v>150</v>
      </c>
      <c r="H11" s="22">
        <v>62434.26</v>
      </c>
      <c r="I11" s="22">
        <v>11892.24</v>
      </c>
      <c r="J11" s="22">
        <v>74326.5</v>
      </c>
    </row>
    <row r="12" spans="1:10" s="16" customFormat="1" ht="37.5">
      <c r="A12" s="20"/>
      <c r="B12" s="20"/>
      <c r="C12" s="23" t="s">
        <v>63</v>
      </c>
      <c r="D12" s="20" t="s">
        <v>6</v>
      </c>
      <c r="E12" s="21">
        <v>120</v>
      </c>
      <c r="F12" s="21">
        <v>30</v>
      </c>
      <c r="G12" s="21">
        <v>150</v>
      </c>
      <c r="H12" s="22">
        <v>51780</v>
      </c>
      <c r="I12" s="22">
        <v>12945</v>
      </c>
      <c r="J12" s="22">
        <v>64725</v>
      </c>
    </row>
    <row r="13" spans="1:10" s="16" customFormat="1" ht="37.5">
      <c r="A13" s="20"/>
      <c r="B13" s="20"/>
      <c r="C13" s="23" t="s">
        <v>64</v>
      </c>
      <c r="D13" s="20" t="s">
        <v>6</v>
      </c>
      <c r="E13" s="21">
        <v>126</v>
      </c>
      <c r="F13" s="21">
        <v>24</v>
      </c>
      <c r="G13" s="21">
        <v>150</v>
      </c>
      <c r="H13" s="22">
        <v>54369</v>
      </c>
      <c r="I13" s="22">
        <v>10356</v>
      </c>
      <c r="J13" s="22">
        <v>64725</v>
      </c>
    </row>
    <row r="14" spans="1:10" s="16" customFormat="1" ht="37.5">
      <c r="A14" s="20"/>
      <c r="B14" s="20"/>
      <c r="C14" s="23" t="s">
        <v>65</v>
      </c>
      <c r="D14" s="20" t="s">
        <v>6</v>
      </c>
      <c r="E14" s="21">
        <v>120</v>
      </c>
      <c r="F14" s="21">
        <v>30</v>
      </c>
      <c r="G14" s="21">
        <v>150</v>
      </c>
      <c r="H14" s="22">
        <v>27466.8</v>
      </c>
      <c r="I14" s="22">
        <v>6866.7</v>
      </c>
      <c r="J14" s="22">
        <v>34333.5</v>
      </c>
    </row>
    <row r="15" spans="1:10" s="16" customFormat="1" ht="37.5">
      <c r="A15" s="20"/>
      <c r="B15" s="20"/>
      <c r="C15" s="23" t="s">
        <v>66</v>
      </c>
      <c r="D15" s="20" t="s">
        <v>6</v>
      </c>
      <c r="E15" s="21">
        <v>126</v>
      </c>
      <c r="F15" s="21">
        <v>24</v>
      </c>
      <c r="G15" s="21">
        <v>150</v>
      </c>
      <c r="H15" s="22">
        <v>28840.14</v>
      </c>
      <c r="I15" s="22">
        <v>5493.36</v>
      </c>
      <c r="J15" s="22">
        <v>34333.5</v>
      </c>
    </row>
    <row r="16" spans="1:10" s="16" customFormat="1" ht="37.5">
      <c r="A16" s="20"/>
      <c r="B16" s="20"/>
      <c r="C16" s="23" t="s">
        <v>92</v>
      </c>
      <c r="D16" s="20" t="s">
        <v>6</v>
      </c>
      <c r="E16" s="21">
        <v>120</v>
      </c>
      <c r="F16" s="21">
        <v>30</v>
      </c>
      <c r="G16" s="21">
        <v>150</v>
      </c>
      <c r="H16" s="22">
        <v>27466.8</v>
      </c>
      <c r="I16" s="22">
        <v>6866.7</v>
      </c>
      <c r="J16" s="22">
        <v>34333.5</v>
      </c>
    </row>
    <row r="17" spans="1:10" s="16" customFormat="1" ht="37.5">
      <c r="A17" s="20"/>
      <c r="B17" s="20"/>
      <c r="C17" s="23" t="s">
        <v>93</v>
      </c>
      <c r="D17" s="20" t="s">
        <v>6</v>
      </c>
      <c r="E17" s="21">
        <v>126</v>
      </c>
      <c r="F17" s="21">
        <v>24</v>
      </c>
      <c r="G17" s="21">
        <v>150</v>
      </c>
      <c r="H17" s="22">
        <v>28840.14</v>
      </c>
      <c r="I17" s="22">
        <v>5493.36</v>
      </c>
      <c r="J17" s="22">
        <v>34333.5</v>
      </c>
    </row>
    <row r="18" spans="1:10" s="16" customFormat="1" ht="37.5">
      <c r="A18" s="20"/>
      <c r="B18" s="20"/>
      <c r="C18" s="23" t="s">
        <v>94</v>
      </c>
      <c r="D18" s="20" t="s">
        <v>6</v>
      </c>
      <c r="E18" s="21">
        <v>120</v>
      </c>
      <c r="F18" s="21">
        <v>30</v>
      </c>
      <c r="G18" s="21">
        <v>150</v>
      </c>
      <c r="H18" s="22">
        <v>27466.8</v>
      </c>
      <c r="I18" s="22">
        <v>6866.7</v>
      </c>
      <c r="J18" s="22">
        <v>34333.5</v>
      </c>
    </row>
    <row r="19" spans="1:10" s="16" customFormat="1" ht="37.5">
      <c r="A19" s="20"/>
      <c r="B19" s="20"/>
      <c r="C19" s="23" t="s">
        <v>95</v>
      </c>
      <c r="D19" s="20" t="s">
        <v>6</v>
      </c>
      <c r="E19" s="21">
        <v>126</v>
      </c>
      <c r="F19" s="21">
        <v>24</v>
      </c>
      <c r="G19" s="21">
        <v>150</v>
      </c>
      <c r="H19" s="22">
        <v>28840.14</v>
      </c>
      <c r="I19" s="22">
        <v>5493.36</v>
      </c>
      <c r="J19" s="22">
        <v>34333.5</v>
      </c>
    </row>
    <row r="20" spans="1:10" s="16" customFormat="1" ht="37.5">
      <c r="A20" s="20"/>
      <c r="B20" s="20"/>
      <c r="C20" s="23" t="s">
        <v>96</v>
      </c>
      <c r="D20" s="20" t="s">
        <v>6</v>
      </c>
      <c r="E20" s="21">
        <v>120</v>
      </c>
      <c r="F20" s="21">
        <v>30</v>
      </c>
      <c r="G20" s="21">
        <v>150</v>
      </c>
      <c r="H20" s="22">
        <v>27466.8</v>
      </c>
      <c r="I20" s="22">
        <v>6866.7</v>
      </c>
      <c r="J20" s="22">
        <v>34333.5</v>
      </c>
    </row>
    <row r="21" spans="1:10" s="16" customFormat="1" ht="37.5">
      <c r="A21" s="20"/>
      <c r="B21" s="20"/>
      <c r="C21" s="23" t="s">
        <v>97</v>
      </c>
      <c r="D21" s="20" t="s">
        <v>6</v>
      </c>
      <c r="E21" s="21">
        <v>126</v>
      </c>
      <c r="F21" s="21">
        <v>24</v>
      </c>
      <c r="G21" s="21">
        <v>150</v>
      </c>
      <c r="H21" s="22">
        <v>28840.14</v>
      </c>
      <c r="I21" s="22">
        <v>5493.36</v>
      </c>
      <c r="J21" s="22">
        <v>34333.5</v>
      </c>
    </row>
    <row r="22" spans="1:10" s="16" customFormat="1" ht="37.5">
      <c r="A22" s="20"/>
      <c r="B22" s="20"/>
      <c r="C22" s="23" t="s">
        <v>98</v>
      </c>
      <c r="D22" s="20" t="s">
        <v>6</v>
      </c>
      <c r="E22" s="21">
        <v>120</v>
      </c>
      <c r="F22" s="21">
        <v>30</v>
      </c>
      <c r="G22" s="21">
        <v>150</v>
      </c>
      <c r="H22" s="22">
        <v>27466.8</v>
      </c>
      <c r="I22" s="22">
        <v>6866.7</v>
      </c>
      <c r="J22" s="22">
        <v>34333.5</v>
      </c>
    </row>
    <row r="23" spans="1:10" s="16" customFormat="1" ht="37.5">
      <c r="A23" s="20"/>
      <c r="B23" s="20"/>
      <c r="C23" s="23" t="s">
        <v>99</v>
      </c>
      <c r="D23" s="20" t="s">
        <v>6</v>
      </c>
      <c r="E23" s="21">
        <v>126</v>
      </c>
      <c r="F23" s="21">
        <v>24</v>
      </c>
      <c r="G23" s="21">
        <v>150</v>
      </c>
      <c r="H23" s="22">
        <v>28840.14</v>
      </c>
      <c r="I23" s="22">
        <v>5493.36</v>
      </c>
      <c r="J23" s="22">
        <v>34333.5</v>
      </c>
    </row>
    <row r="24" spans="1:10" s="16" customFormat="1" ht="37.5">
      <c r="A24" s="20"/>
      <c r="B24" s="20"/>
      <c r="C24" s="23" t="s">
        <v>100</v>
      </c>
      <c r="D24" s="20" t="s">
        <v>6</v>
      </c>
      <c r="E24" s="21">
        <v>120</v>
      </c>
      <c r="F24" s="21">
        <v>30</v>
      </c>
      <c r="G24" s="21">
        <v>150</v>
      </c>
      <c r="H24" s="22">
        <v>27466.8</v>
      </c>
      <c r="I24" s="22">
        <v>6866.7</v>
      </c>
      <c r="J24" s="22">
        <v>34333.5</v>
      </c>
    </row>
    <row r="25" spans="1:10" s="16" customFormat="1" ht="37.5">
      <c r="A25" s="20"/>
      <c r="B25" s="20"/>
      <c r="C25" s="23" t="s">
        <v>101</v>
      </c>
      <c r="D25" s="20" t="s">
        <v>6</v>
      </c>
      <c r="E25" s="21">
        <v>126</v>
      </c>
      <c r="F25" s="21">
        <v>24</v>
      </c>
      <c r="G25" s="21">
        <v>150</v>
      </c>
      <c r="H25" s="22">
        <v>28840.14</v>
      </c>
      <c r="I25" s="22">
        <v>5493.36</v>
      </c>
      <c r="J25" s="22">
        <v>34333.5</v>
      </c>
    </row>
    <row r="26" spans="1:10" s="16" customFormat="1" ht="37.5">
      <c r="A26" s="20"/>
      <c r="B26" s="20"/>
      <c r="C26" s="23" t="s">
        <v>102</v>
      </c>
      <c r="D26" s="20" t="s">
        <v>6</v>
      </c>
      <c r="E26" s="21">
        <v>120</v>
      </c>
      <c r="F26" s="21">
        <v>30</v>
      </c>
      <c r="G26" s="21">
        <v>150</v>
      </c>
      <c r="H26" s="22">
        <v>27466.8</v>
      </c>
      <c r="I26" s="22">
        <v>6866.7</v>
      </c>
      <c r="J26" s="22">
        <v>34333.5</v>
      </c>
    </row>
    <row r="27" spans="1:10" s="16" customFormat="1" ht="37.5">
      <c r="A27" s="20"/>
      <c r="B27" s="20"/>
      <c r="C27" s="23" t="s">
        <v>103</v>
      </c>
      <c r="D27" s="20" t="s">
        <v>6</v>
      </c>
      <c r="E27" s="21">
        <v>126</v>
      </c>
      <c r="F27" s="21">
        <v>24</v>
      </c>
      <c r="G27" s="21">
        <v>150</v>
      </c>
      <c r="H27" s="22">
        <v>28840.14</v>
      </c>
      <c r="I27" s="22">
        <v>5493.36</v>
      </c>
      <c r="J27" s="22">
        <v>34333.5</v>
      </c>
    </row>
    <row r="28" spans="1:10" s="16" customFormat="1" ht="45" customHeight="1">
      <c r="A28" s="20"/>
      <c r="B28" s="20"/>
      <c r="C28" s="23" t="s">
        <v>104</v>
      </c>
      <c r="D28" s="20" t="s">
        <v>6</v>
      </c>
      <c r="E28" s="21">
        <v>120</v>
      </c>
      <c r="F28" s="21">
        <v>30</v>
      </c>
      <c r="G28" s="21">
        <v>150</v>
      </c>
      <c r="H28" s="22">
        <v>27466.8</v>
      </c>
      <c r="I28" s="22">
        <v>6866.7</v>
      </c>
      <c r="J28" s="22">
        <v>34333.5</v>
      </c>
    </row>
    <row r="29" spans="1:10" s="16" customFormat="1" ht="43.5" customHeight="1">
      <c r="A29" s="20"/>
      <c r="B29" s="20"/>
      <c r="C29" s="23" t="s">
        <v>105</v>
      </c>
      <c r="D29" s="20" t="s">
        <v>6</v>
      </c>
      <c r="E29" s="21">
        <v>126</v>
      </c>
      <c r="F29" s="21">
        <v>24</v>
      </c>
      <c r="G29" s="21">
        <v>150</v>
      </c>
      <c r="H29" s="22">
        <v>28840.14</v>
      </c>
      <c r="I29" s="22">
        <v>5493.36</v>
      </c>
      <c r="J29" s="22">
        <v>34333.5</v>
      </c>
    </row>
    <row r="30" spans="1:10" s="25" customFormat="1" ht="42.75" customHeight="1">
      <c r="A30" s="17"/>
      <c r="B30" s="121" t="s">
        <v>106</v>
      </c>
      <c r="C30" s="122"/>
      <c r="D30" s="24"/>
      <c r="E30" s="12">
        <f aca="true" t="shared" si="0" ref="E30:J30">SUM(E6:E29)</f>
        <v>2952</v>
      </c>
      <c r="F30" s="12">
        <f t="shared" si="0"/>
        <v>648</v>
      </c>
      <c r="G30" s="12">
        <f t="shared" si="0"/>
        <v>3600</v>
      </c>
      <c r="H30" s="13">
        <f t="shared" si="0"/>
        <v>1013421.6000000006</v>
      </c>
      <c r="I30" s="13">
        <f t="shared" si="0"/>
        <v>222458.4</v>
      </c>
      <c r="J30" s="13">
        <f t="shared" si="0"/>
        <v>1235880</v>
      </c>
    </row>
    <row r="31" spans="1:10" s="29" customFormat="1" ht="45" customHeight="1">
      <c r="A31" s="26"/>
      <c r="B31" s="90" t="s">
        <v>107</v>
      </c>
      <c r="C31" s="91"/>
      <c r="D31" s="26"/>
      <c r="E31" s="27" t="s">
        <v>83</v>
      </c>
      <c r="F31" s="27" t="s">
        <v>83</v>
      </c>
      <c r="G31" s="27" t="s">
        <v>83</v>
      </c>
      <c r="H31" s="28">
        <v>40407651.99</v>
      </c>
      <c r="I31" s="28">
        <v>9702228.08</v>
      </c>
      <c r="J31" s="28">
        <v>50109880.07</v>
      </c>
    </row>
    <row r="32" spans="1:10" s="29" customFormat="1" ht="56.25">
      <c r="A32" s="26"/>
      <c r="B32" s="26"/>
      <c r="C32" s="30" t="s">
        <v>67</v>
      </c>
      <c r="D32" s="26" t="s">
        <v>6</v>
      </c>
      <c r="E32" s="21">
        <v>120</v>
      </c>
      <c r="F32" s="21">
        <v>30</v>
      </c>
      <c r="G32" s="21">
        <v>150</v>
      </c>
      <c r="H32" s="22">
        <v>27466.8</v>
      </c>
      <c r="I32" s="22">
        <v>6866.7</v>
      </c>
      <c r="J32" s="22">
        <v>34333.5</v>
      </c>
    </row>
    <row r="33" spans="1:10" s="29" customFormat="1" ht="56.25">
      <c r="A33" s="26"/>
      <c r="B33" s="26"/>
      <c r="C33" s="30" t="s">
        <v>68</v>
      </c>
      <c r="D33" s="26" t="s">
        <v>6</v>
      </c>
      <c r="E33" s="21">
        <v>126</v>
      </c>
      <c r="F33" s="21">
        <v>24</v>
      </c>
      <c r="G33" s="21">
        <v>150</v>
      </c>
      <c r="H33" s="22">
        <v>28840.14</v>
      </c>
      <c r="I33" s="22">
        <v>5493.36</v>
      </c>
      <c r="J33" s="22">
        <v>34333.5</v>
      </c>
    </row>
    <row r="34" spans="1:10" s="29" customFormat="1" ht="37.5">
      <c r="A34" s="26"/>
      <c r="B34" s="26"/>
      <c r="C34" s="30" t="s">
        <v>59</v>
      </c>
      <c r="D34" s="26" t="s">
        <v>6</v>
      </c>
      <c r="E34" s="21">
        <v>120</v>
      </c>
      <c r="F34" s="21">
        <v>30</v>
      </c>
      <c r="G34" s="21">
        <v>150</v>
      </c>
      <c r="H34" s="22">
        <v>135909.6</v>
      </c>
      <c r="I34" s="22">
        <v>33977.4</v>
      </c>
      <c r="J34" s="22">
        <v>169887</v>
      </c>
    </row>
    <row r="35" spans="1:10" s="29" customFormat="1" ht="37.5">
      <c r="A35" s="26"/>
      <c r="B35" s="26"/>
      <c r="C35" s="30" t="s">
        <v>60</v>
      </c>
      <c r="D35" s="26" t="s">
        <v>6</v>
      </c>
      <c r="E35" s="21">
        <v>126</v>
      </c>
      <c r="F35" s="21">
        <v>24</v>
      </c>
      <c r="G35" s="21">
        <v>150</v>
      </c>
      <c r="H35" s="22">
        <v>142705.08</v>
      </c>
      <c r="I35" s="22">
        <v>27181.92</v>
      </c>
      <c r="J35" s="22">
        <v>169887</v>
      </c>
    </row>
    <row r="36" spans="1:10" s="29" customFormat="1" ht="37.5">
      <c r="A36" s="26"/>
      <c r="B36" s="26"/>
      <c r="C36" s="30" t="s">
        <v>61</v>
      </c>
      <c r="D36" s="26" t="s">
        <v>6</v>
      </c>
      <c r="E36" s="21">
        <v>120</v>
      </c>
      <c r="F36" s="21">
        <v>30</v>
      </c>
      <c r="G36" s="21">
        <v>150</v>
      </c>
      <c r="H36" s="22">
        <v>59461.2</v>
      </c>
      <c r="I36" s="22">
        <v>14865.3</v>
      </c>
      <c r="J36" s="22">
        <v>74326.5</v>
      </c>
    </row>
    <row r="37" spans="1:10" s="29" customFormat="1" ht="37.5">
      <c r="A37" s="26"/>
      <c r="B37" s="26"/>
      <c r="C37" s="30" t="s">
        <v>62</v>
      </c>
      <c r="D37" s="26" t="s">
        <v>6</v>
      </c>
      <c r="E37" s="21">
        <v>126</v>
      </c>
      <c r="F37" s="21">
        <v>24</v>
      </c>
      <c r="G37" s="21">
        <v>150</v>
      </c>
      <c r="H37" s="22">
        <v>62434.26</v>
      </c>
      <c r="I37" s="22">
        <v>11892.24</v>
      </c>
      <c r="J37" s="22">
        <v>74326.5</v>
      </c>
    </row>
    <row r="38" spans="1:10" s="29" customFormat="1" ht="37.5">
      <c r="A38" s="26"/>
      <c r="B38" s="26"/>
      <c r="C38" s="30" t="s">
        <v>63</v>
      </c>
      <c r="D38" s="26" t="s">
        <v>6</v>
      </c>
      <c r="E38" s="21">
        <v>120</v>
      </c>
      <c r="F38" s="21">
        <v>30</v>
      </c>
      <c r="G38" s="21">
        <v>150</v>
      </c>
      <c r="H38" s="22">
        <v>51780</v>
      </c>
      <c r="I38" s="22">
        <v>12945</v>
      </c>
      <c r="J38" s="22">
        <v>64725</v>
      </c>
    </row>
    <row r="39" spans="1:10" s="29" customFormat="1" ht="37.5">
      <c r="A39" s="26"/>
      <c r="B39" s="26"/>
      <c r="C39" s="30" t="s">
        <v>64</v>
      </c>
      <c r="D39" s="26" t="s">
        <v>6</v>
      </c>
      <c r="E39" s="21">
        <v>126</v>
      </c>
      <c r="F39" s="21">
        <v>24</v>
      </c>
      <c r="G39" s="21">
        <v>150</v>
      </c>
      <c r="H39" s="22">
        <v>54369</v>
      </c>
      <c r="I39" s="22">
        <v>10356</v>
      </c>
      <c r="J39" s="22">
        <v>64725</v>
      </c>
    </row>
    <row r="40" spans="1:10" s="29" customFormat="1" ht="37.5">
      <c r="A40" s="26"/>
      <c r="B40" s="26"/>
      <c r="C40" s="30" t="s">
        <v>65</v>
      </c>
      <c r="D40" s="26" t="s">
        <v>6</v>
      </c>
      <c r="E40" s="21">
        <v>120</v>
      </c>
      <c r="F40" s="21">
        <v>30</v>
      </c>
      <c r="G40" s="21">
        <v>150</v>
      </c>
      <c r="H40" s="22">
        <v>27466.8</v>
      </c>
      <c r="I40" s="22">
        <v>6866.7</v>
      </c>
      <c r="J40" s="22">
        <v>34333.5</v>
      </c>
    </row>
    <row r="41" spans="1:10" s="29" customFormat="1" ht="37.5">
      <c r="A41" s="26"/>
      <c r="B41" s="26"/>
      <c r="C41" s="30" t="s">
        <v>66</v>
      </c>
      <c r="D41" s="26" t="s">
        <v>6</v>
      </c>
      <c r="E41" s="21">
        <v>126</v>
      </c>
      <c r="F41" s="21">
        <v>24</v>
      </c>
      <c r="G41" s="21">
        <v>150</v>
      </c>
      <c r="H41" s="22">
        <v>28840.14</v>
      </c>
      <c r="I41" s="22">
        <v>5493.36</v>
      </c>
      <c r="J41" s="22">
        <v>34333.5</v>
      </c>
    </row>
    <row r="42" spans="1:10" s="29" customFormat="1" ht="37.5">
      <c r="A42" s="26"/>
      <c r="B42" s="26"/>
      <c r="C42" s="30" t="s">
        <v>92</v>
      </c>
      <c r="D42" s="26" t="s">
        <v>6</v>
      </c>
      <c r="E42" s="21">
        <v>120</v>
      </c>
      <c r="F42" s="21">
        <v>30</v>
      </c>
      <c r="G42" s="21">
        <v>150</v>
      </c>
      <c r="H42" s="22">
        <v>27466.8</v>
      </c>
      <c r="I42" s="22">
        <v>6866.7</v>
      </c>
      <c r="J42" s="22">
        <v>34333.5</v>
      </c>
    </row>
    <row r="43" spans="1:10" s="29" customFormat="1" ht="37.5">
      <c r="A43" s="26"/>
      <c r="B43" s="26"/>
      <c r="C43" s="30" t="s">
        <v>93</v>
      </c>
      <c r="D43" s="26" t="s">
        <v>6</v>
      </c>
      <c r="E43" s="21">
        <v>126</v>
      </c>
      <c r="F43" s="21">
        <v>24</v>
      </c>
      <c r="G43" s="21">
        <v>150</v>
      </c>
      <c r="H43" s="22">
        <v>28840.14</v>
      </c>
      <c r="I43" s="22">
        <v>5493.36</v>
      </c>
      <c r="J43" s="22">
        <v>34333.5</v>
      </c>
    </row>
    <row r="44" spans="1:10" s="29" customFormat="1" ht="37.5">
      <c r="A44" s="26"/>
      <c r="B44" s="26"/>
      <c r="C44" s="30" t="s">
        <v>94</v>
      </c>
      <c r="D44" s="26" t="s">
        <v>6</v>
      </c>
      <c r="E44" s="21">
        <v>120</v>
      </c>
      <c r="F44" s="21">
        <v>30</v>
      </c>
      <c r="G44" s="21">
        <v>150</v>
      </c>
      <c r="H44" s="22">
        <v>27466.8</v>
      </c>
      <c r="I44" s="22">
        <v>6866.7</v>
      </c>
      <c r="J44" s="22">
        <v>34333.5</v>
      </c>
    </row>
    <row r="45" spans="1:10" s="29" customFormat="1" ht="37.5">
      <c r="A45" s="26"/>
      <c r="B45" s="26"/>
      <c r="C45" s="30" t="s">
        <v>95</v>
      </c>
      <c r="D45" s="26" t="s">
        <v>6</v>
      </c>
      <c r="E45" s="21">
        <v>126</v>
      </c>
      <c r="F45" s="21">
        <v>24</v>
      </c>
      <c r="G45" s="21">
        <v>150</v>
      </c>
      <c r="H45" s="22">
        <v>28840.14</v>
      </c>
      <c r="I45" s="22">
        <v>5493.36</v>
      </c>
      <c r="J45" s="22">
        <v>34333.5</v>
      </c>
    </row>
    <row r="46" spans="1:10" s="29" customFormat="1" ht="37.5">
      <c r="A46" s="26"/>
      <c r="B46" s="26"/>
      <c r="C46" s="30" t="s">
        <v>96</v>
      </c>
      <c r="D46" s="26" t="s">
        <v>6</v>
      </c>
      <c r="E46" s="21">
        <v>120</v>
      </c>
      <c r="F46" s="21">
        <v>30</v>
      </c>
      <c r="G46" s="21">
        <v>150</v>
      </c>
      <c r="H46" s="22">
        <v>27466.8</v>
      </c>
      <c r="I46" s="22">
        <v>6866.7</v>
      </c>
      <c r="J46" s="22">
        <v>34333.5</v>
      </c>
    </row>
    <row r="47" spans="1:10" s="29" customFormat="1" ht="37.5">
      <c r="A47" s="26"/>
      <c r="B47" s="26"/>
      <c r="C47" s="30" t="s">
        <v>97</v>
      </c>
      <c r="D47" s="26" t="s">
        <v>6</v>
      </c>
      <c r="E47" s="21">
        <v>126</v>
      </c>
      <c r="F47" s="21">
        <v>24</v>
      </c>
      <c r="G47" s="21">
        <v>150</v>
      </c>
      <c r="H47" s="22">
        <v>28840.14</v>
      </c>
      <c r="I47" s="22">
        <v>5493.36</v>
      </c>
      <c r="J47" s="22">
        <v>34333.5</v>
      </c>
    </row>
    <row r="48" spans="1:10" s="29" customFormat="1" ht="37.5">
      <c r="A48" s="26"/>
      <c r="B48" s="26"/>
      <c r="C48" s="30" t="s">
        <v>98</v>
      </c>
      <c r="D48" s="26" t="s">
        <v>6</v>
      </c>
      <c r="E48" s="21">
        <v>120</v>
      </c>
      <c r="F48" s="21">
        <v>30</v>
      </c>
      <c r="G48" s="21">
        <v>150</v>
      </c>
      <c r="H48" s="22">
        <v>27466.8</v>
      </c>
      <c r="I48" s="22">
        <v>6866.7</v>
      </c>
      <c r="J48" s="22">
        <v>34333.5</v>
      </c>
    </row>
    <row r="49" spans="1:10" s="29" customFormat="1" ht="37.5">
      <c r="A49" s="26"/>
      <c r="B49" s="26"/>
      <c r="C49" s="30" t="s">
        <v>99</v>
      </c>
      <c r="D49" s="26" t="s">
        <v>6</v>
      </c>
      <c r="E49" s="21">
        <v>126</v>
      </c>
      <c r="F49" s="21">
        <v>24</v>
      </c>
      <c r="G49" s="21">
        <v>150</v>
      </c>
      <c r="H49" s="22">
        <v>28840.14</v>
      </c>
      <c r="I49" s="22">
        <v>5493.36</v>
      </c>
      <c r="J49" s="22">
        <v>34333.5</v>
      </c>
    </row>
    <row r="50" spans="1:10" s="29" customFormat="1" ht="37.5">
      <c r="A50" s="26"/>
      <c r="B50" s="26"/>
      <c r="C50" s="30" t="s">
        <v>100</v>
      </c>
      <c r="D50" s="26" t="s">
        <v>6</v>
      </c>
      <c r="E50" s="21">
        <v>120</v>
      </c>
      <c r="F50" s="21">
        <v>30</v>
      </c>
      <c r="G50" s="21">
        <v>150</v>
      </c>
      <c r="H50" s="22">
        <v>27466.8</v>
      </c>
      <c r="I50" s="22">
        <v>6866.7</v>
      </c>
      <c r="J50" s="22">
        <v>34333.5</v>
      </c>
    </row>
    <row r="51" spans="1:10" s="29" customFormat="1" ht="37.5">
      <c r="A51" s="26"/>
      <c r="B51" s="26"/>
      <c r="C51" s="30" t="s">
        <v>101</v>
      </c>
      <c r="D51" s="26" t="s">
        <v>6</v>
      </c>
      <c r="E51" s="21">
        <v>126</v>
      </c>
      <c r="F51" s="21">
        <v>24</v>
      </c>
      <c r="G51" s="21">
        <v>150</v>
      </c>
      <c r="H51" s="22">
        <v>28840.14</v>
      </c>
      <c r="I51" s="22">
        <v>5493.36</v>
      </c>
      <c r="J51" s="22">
        <v>34333.5</v>
      </c>
    </row>
    <row r="52" spans="1:10" s="29" customFormat="1" ht="37.5">
      <c r="A52" s="26"/>
      <c r="B52" s="26"/>
      <c r="C52" s="30" t="s">
        <v>102</v>
      </c>
      <c r="D52" s="26" t="s">
        <v>6</v>
      </c>
      <c r="E52" s="21">
        <v>120</v>
      </c>
      <c r="F52" s="21">
        <v>30</v>
      </c>
      <c r="G52" s="21">
        <v>150</v>
      </c>
      <c r="H52" s="22">
        <v>27466.8</v>
      </c>
      <c r="I52" s="22">
        <v>6866.7</v>
      </c>
      <c r="J52" s="22">
        <v>34333.5</v>
      </c>
    </row>
    <row r="53" spans="1:10" s="29" customFormat="1" ht="37.5">
      <c r="A53" s="26"/>
      <c r="B53" s="26"/>
      <c r="C53" s="30" t="s">
        <v>103</v>
      </c>
      <c r="D53" s="26" t="s">
        <v>6</v>
      </c>
      <c r="E53" s="21">
        <v>126</v>
      </c>
      <c r="F53" s="21">
        <v>24</v>
      </c>
      <c r="G53" s="21">
        <v>150</v>
      </c>
      <c r="H53" s="22">
        <v>28840.14</v>
      </c>
      <c r="I53" s="22">
        <v>5493.36</v>
      </c>
      <c r="J53" s="22">
        <v>34333.5</v>
      </c>
    </row>
    <row r="54" spans="1:10" s="29" customFormat="1" ht="56.25">
      <c r="A54" s="26"/>
      <c r="B54" s="26"/>
      <c r="C54" s="30" t="s">
        <v>104</v>
      </c>
      <c r="D54" s="26" t="s">
        <v>6</v>
      </c>
      <c r="E54" s="21">
        <v>120</v>
      </c>
      <c r="F54" s="21">
        <v>30</v>
      </c>
      <c r="G54" s="21">
        <v>150</v>
      </c>
      <c r="H54" s="22">
        <v>27466.8</v>
      </c>
      <c r="I54" s="22">
        <v>6866.7</v>
      </c>
      <c r="J54" s="22">
        <v>34333.5</v>
      </c>
    </row>
    <row r="55" spans="1:10" s="29" customFormat="1" ht="37.5">
      <c r="A55" s="26"/>
      <c r="B55" s="26"/>
      <c r="C55" s="30" t="s">
        <v>105</v>
      </c>
      <c r="D55" s="26" t="s">
        <v>6</v>
      </c>
      <c r="E55" s="21">
        <v>126</v>
      </c>
      <c r="F55" s="21">
        <v>24</v>
      </c>
      <c r="G55" s="21">
        <v>150</v>
      </c>
      <c r="H55" s="22">
        <v>28840.14</v>
      </c>
      <c r="I55" s="22">
        <v>5493.36</v>
      </c>
      <c r="J55" s="22">
        <v>34333.5</v>
      </c>
    </row>
    <row r="56" spans="1:10" s="25" customFormat="1" ht="45" customHeight="1">
      <c r="A56" s="94" t="s">
        <v>108</v>
      </c>
      <c r="B56" s="117"/>
      <c r="C56" s="95"/>
      <c r="D56" s="24"/>
      <c r="E56" s="12" t="s">
        <v>83</v>
      </c>
      <c r="F56" s="12" t="s">
        <v>83</v>
      </c>
      <c r="G56" s="12" t="s">
        <v>83</v>
      </c>
      <c r="H56" s="13">
        <f>H31+H30</f>
        <v>41421073.59</v>
      </c>
      <c r="I56" s="13">
        <f>I31+I30</f>
        <v>9924686.48</v>
      </c>
      <c r="J56" s="13">
        <f>SUM(H56:I56)</f>
        <v>51345760.07000001</v>
      </c>
    </row>
    <row r="57" spans="1:10" s="16" customFormat="1" ht="56.25">
      <c r="A57" s="20"/>
      <c r="B57" s="20"/>
      <c r="C57" s="30" t="s">
        <v>67</v>
      </c>
      <c r="D57" s="26" t="s">
        <v>6</v>
      </c>
      <c r="E57" s="27">
        <f aca="true" t="shared" si="1" ref="E57:J57">E32+E6</f>
        <v>240</v>
      </c>
      <c r="F57" s="27">
        <f t="shared" si="1"/>
        <v>60</v>
      </c>
      <c r="G57" s="27">
        <f t="shared" si="1"/>
        <v>300</v>
      </c>
      <c r="H57" s="28">
        <f t="shared" si="1"/>
        <v>54933.6</v>
      </c>
      <c r="I57" s="28">
        <f t="shared" si="1"/>
        <v>13733.4</v>
      </c>
      <c r="J57" s="28">
        <f t="shared" si="1"/>
        <v>68667</v>
      </c>
    </row>
    <row r="58" spans="1:10" s="16" customFormat="1" ht="56.25">
      <c r="A58" s="20"/>
      <c r="B58" s="20"/>
      <c r="C58" s="30" t="s">
        <v>68</v>
      </c>
      <c r="D58" s="26" t="s">
        <v>6</v>
      </c>
      <c r="E58" s="27">
        <f aca="true" t="shared" si="2" ref="E58:J58">E33+E7</f>
        <v>252</v>
      </c>
      <c r="F58" s="27">
        <f t="shared" si="2"/>
        <v>48</v>
      </c>
      <c r="G58" s="27">
        <f t="shared" si="2"/>
        <v>300</v>
      </c>
      <c r="H58" s="28">
        <f t="shared" si="2"/>
        <v>57680.28</v>
      </c>
      <c r="I58" s="28">
        <f t="shared" si="2"/>
        <v>10986.72</v>
      </c>
      <c r="J58" s="28">
        <f t="shared" si="2"/>
        <v>68667</v>
      </c>
    </row>
    <row r="59" spans="1:10" s="16" customFormat="1" ht="37.5">
      <c r="A59" s="20"/>
      <c r="B59" s="20"/>
      <c r="C59" s="30" t="s">
        <v>59</v>
      </c>
      <c r="D59" s="26" t="s">
        <v>6</v>
      </c>
      <c r="E59" s="27">
        <f aca="true" t="shared" si="3" ref="E59:J59">E34+E8</f>
        <v>240</v>
      </c>
      <c r="F59" s="27">
        <f t="shared" si="3"/>
        <v>60</v>
      </c>
      <c r="G59" s="27">
        <f t="shared" si="3"/>
        <v>300</v>
      </c>
      <c r="H59" s="28">
        <f t="shared" si="3"/>
        <v>271819.2</v>
      </c>
      <c r="I59" s="28">
        <f t="shared" si="3"/>
        <v>67954.8</v>
      </c>
      <c r="J59" s="28">
        <f t="shared" si="3"/>
        <v>339774</v>
      </c>
    </row>
    <row r="60" spans="1:10" s="16" customFormat="1" ht="37.5">
      <c r="A60" s="20"/>
      <c r="B60" s="20"/>
      <c r="C60" s="30" t="s">
        <v>60</v>
      </c>
      <c r="D60" s="26" t="s">
        <v>6</v>
      </c>
      <c r="E60" s="27">
        <f aca="true" t="shared" si="4" ref="E60:J60">E35+E9</f>
        <v>252</v>
      </c>
      <c r="F60" s="27">
        <f t="shared" si="4"/>
        <v>48</v>
      </c>
      <c r="G60" s="27">
        <f t="shared" si="4"/>
        <v>300</v>
      </c>
      <c r="H60" s="28">
        <f t="shared" si="4"/>
        <v>285410.16</v>
      </c>
      <c r="I60" s="28">
        <f t="shared" si="4"/>
        <v>54363.84</v>
      </c>
      <c r="J60" s="28">
        <f t="shared" si="4"/>
        <v>339774</v>
      </c>
    </row>
    <row r="61" spans="1:10" s="16" customFormat="1" ht="37.5">
      <c r="A61" s="20"/>
      <c r="B61" s="20"/>
      <c r="C61" s="30" t="s">
        <v>61</v>
      </c>
      <c r="D61" s="26" t="s">
        <v>6</v>
      </c>
      <c r="E61" s="27">
        <f aca="true" t="shared" si="5" ref="E61:J61">E36+E10</f>
        <v>240</v>
      </c>
      <c r="F61" s="27">
        <f t="shared" si="5"/>
        <v>60</v>
      </c>
      <c r="G61" s="27">
        <f t="shared" si="5"/>
        <v>300</v>
      </c>
      <c r="H61" s="28">
        <f t="shared" si="5"/>
        <v>118922.4</v>
      </c>
      <c r="I61" s="28">
        <f t="shared" si="5"/>
        <v>29730.6</v>
      </c>
      <c r="J61" s="28">
        <f t="shared" si="5"/>
        <v>148653</v>
      </c>
    </row>
    <row r="62" spans="1:10" s="16" customFormat="1" ht="37.5">
      <c r="A62" s="20"/>
      <c r="B62" s="20"/>
      <c r="C62" s="30" t="s">
        <v>62</v>
      </c>
      <c r="D62" s="26" t="s">
        <v>6</v>
      </c>
      <c r="E62" s="27">
        <f aca="true" t="shared" si="6" ref="E62:J62">E37+E11</f>
        <v>252</v>
      </c>
      <c r="F62" s="27">
        <f t="shared" si="6"/>
        <v>48</v>
      </c>
      <c r="G62" s="27">
        <f t="shared" si="6"/>
        <v>300</v>
      </c>
      <c r="H62" s="28">
        <f t="shared" si="6"/>
        <v>124868.52</v>
      </c>
      <c r="I62" s="28">
        <f t="shared" si="6"/>
        <v>23784.48</v>
      </c>
      <c r="J62" s="28">
        <f t="shared" si="6"/>
        <v>148653</v>
      </c>
    </row>
    <row r="63" spans="1:10" s="16" customFormat="1" ht="37.5">
      <c r="A63" s="20"/>
      <c r="B63" s="20"/>
      <c r="C63" s="30" t="s">
        <v>63</v>
      </c>
      <c r="D63" s="26" t="s">
        <v>6</v>
      </c>
      <c r="E63" s="27">
        <f aca="true" t="shared" si="7" ref="E63:J63">E38+E12</f>
        <v>240</v>
      </c>
      <c r="F63" s="27">
        <f t="shared" si="7"/>
        <v>60</v>
      </c>
      <c r="G63" s="27">
        <f t="shared" si="7"/>
        <v>300</v>
      </c>
      <c r="H63" s="28">
        <f t="shared" si="7"/>
        <v>103560</v>
      </c>
      <c r="I63" s="28">
        <f t="shared" si="7"/>
        <v>25890</v>
      </c>
      <c r="J63" s="28">
        <f t="shared" si="7"/>
        <v>129450</v>
      </c>
    </row>
    <row r="64" spans="1:10" s="16" customFormat="1" ht="37.5">
      <c r="A64" s="20"/>
      <c r="B64" s="20"/>
      <c r="C64" s="30" t="s">
        <v>64</v>
      </c>
      <c r="D64" s="26" t="s">
        <v>6</v>
      </c>
      <c r="E64" s="27">
        <f aca="true" t="shared" si="8" ref="E64:J64">E39+E13</f>
        <v>252</v>
      </c>
      <c r="F64" s="27">
        <f t="shared" si="8"/>
        <v>48</v>
      </c>
      <c r="G64" s="27">
        <f t="shared" si="8"/>
        <v>300</v>
      </c>
      <c r="H64" s="28">
        <f t="shared" si="8"/>
        <v>108738</v>
      </c>
      <c r="I64" s="28">
        <f t="shared" si="8"/>
        <v>20712</v>
      </c>
      <c r="J64" s="28">
        <f t="shared" si="8"/>
        <v>129450</v>
      </c>
    </row>
    <row r="65" spans="1:10" s="16" customFormat="1" ht="37.5">
      <c r="A65" s="20"/>
      <c r="B65" s="20"/>
      <c r="C65" s="30" t="s">
        <v>65</v>
      </c>
      <c r="D65" s="26" t="s">
        <v>6</v>
      </c>
      <c r="E65" s="27">
        <f aca="true" t="shared" si="9" ref="E65:J65">E40+E14</f>
        <v>240</v>
      </c>
      <c r="F65" s="27">
        <f t="shared" si="9"/>
        <v>60</v>
      </c>
      <c r="G65" s="27">
        <f t="shared" si="9"/>
        <v>300</v>
      </c>
      <c r="H65" s="28">
        <f t="shared" si="9"/>
        <v>54933.6</v>
      </c>
      <c r="I65" s="28">
        <f t="shared" si="9"/>
        <v>13733.4</v>
      </c>
      <c r="J65" s="28">
        <f t="shared" si="9"/>
        <v>68667</v>
      </c>
    </row>
    <row r="66" spans="1:10" s="16" customFormat="1" ht="37.5">
      <c r="A66" s="20"/>
      <c r="B66" s="20"/>
      <c r="C66" s="30" t="s">
        <v>66</v>
      </c>
      <c r="D66" s="26" t="s">
        <v>6</v>
      </c>
      <c r="E66" s="27">
        <f aca="true" t="shared" si="10" ref="E66:J66">E41+E15</f>
        <v>252</v>
      </c>
      <c r="F66" s="27">
        <f t="shared" si="10"/>
        <v>48</v>
      </c>
      <c r="G66" s="27">
        <f t="shared" si="10"/>
        <v>300</v>
      </c>
      <c r="H66" s="28">
        <f t="shared" si="10"/>
        <v>57680.28</v>
      </c>
      <c r="I66" s="28">
        <f t="shared" si="10"/>
        <v>10986.72</v>
      </c>
      <c r="J66" s="28">
        <f t="shared" si="10"/>
        <v>68667</v>
      </c>
    </row>
    <row r="67" spans="1:10" s="16" customFormat="1" ht="37.5">
      <c r="A67" s="20"/>
      <c r="B67" s="20"/>
      <c r="C67" s="30" t="s">
        <v>92</v>
      </c>
      <c r="D67" s="26" t="s">
        <v>6</v>
      </c>
      <c r="E67" s="27">
        <f aca="true" t="shared" si="11" ref="E67:J67">E42+E16</f>
        <v>240</v>
      </c>
      <c r="F67" s="27">
        <f t="shared" si="11"/>
        <v>60</v>
      </c>
      <c r="G67" s="27">
        <f t="shared" si="11"/>
        <v>300</v>
      </c>
      <c r="H67" s="28">
        <f t="shared" si="11"/>
        <v>54933.6</v>
      </c>
      <c r="I67" s="28">
        <f t="shared" si="11"/>
        <v>13733.4</v>
      </c>
      <c r="J67" s="28">
        <f t="shared" si="11"/>
        <v>68667</v>
      </c>
    </row>
    <row r="68" spans="1:10" s="16" customFormat="1" ht="37.5">
      <c r="A68" s="20"/>
      <c r="B68" s="20"/>
      <c r="C68" s="30" t="s">
        <v>93</v>
      </c>
      <c r="D68" s="26" t="s">
        <v>6</v>
      </c>
      <c r="E68" s="27">
        <f aca="true" t="shared" si="12" ref="E68:J68">E43+E17</f>
        <v>252</v>
      </c>
      <c r="F68" s="27">
        <f t="shared" si="12"/>
        <v>48</v>
      </c>
      <c r="G68" s="27">
        <f t="shared" si="12"/>
        <v>300</v>
      </c>
      <c r="H68" s="28">
        <f t="shared" si="12"/>
        <v>57680.28</v>
      </c>
      <c r="I68" s="28">
        <f t="shared" si="12"/>
        <v>10986.72</v>
      </c>
      <c r="J68" s="28">
        <f t="shared" si="12"/>
        <v>68667</v>
      </c>
    </row>
    <row r="69" spans="1:10" s="16" customFormat="1" ht="37.5">
      <c r="A69" s="20"/>
      <c r="B69" s="20"/>
      <c r="C69" s="30" t="s">
        <v>94</v>
      </c>
      <c r="D69" s="26" t="s">
        <v>6</v>
      </c>
      <c r="E69" s="27">
        <f aca="true" t="shared" si="13" ref="E69:J69">E44+E18</f>
        <v>240</v>
      </c>
      <c r="F69" s="27">
        <f t="shared" si="13"/>
        <v>60</v>
      </c>
      <c r="G69" s="27">
        <f t="shared" si="13"/>
        <v>300</v>
      </c>
      <c r="H69" s="28">
        <f t="shared" si="13"/>
        <v>54933.6</v>
      </c>
      <c r="I69" s="28">
        <f t="shared" si="13"/>
        <v>13733.4</v>
      </c>
      <c r="J69" s="28">
        <f t="shared" si="13"/>
        <v>68667</v>
      </c>
    </row>
    <row r="70" spans="1:10" s="16" customFormat="1" ht="37.5">
      <c r="A70" s="20"/>
      <c r="B70" s="20"/>
      <c r="C70" s="30" t="s">
        <v>95</v>
      </c>
      <c r="D70" s="26" t="s">
        <v>6</v>
      </c>
      <c r="E70" s="27">
        <f aca="true" t="shared" si="14" ref="E70:J70">E45+E19</f>
        <v>252</v>
      </c>
      <c r="F70" s="27">
        <f t="shared" si="14"/>
        <v>48</v>
      </c>
      <c r="G70" s="27">
        <f t="shared" si="14"/>
        <v>300</v>
      </c>
      <c r="H70" s="28">
        <f t="shared" si="14"/>
        <v>57680.28</v>
      </c>
      <c r="I70" s="28">
        <f t="shared" si="14"/>
        <v>10986.72</v>
      </c>
      <c r="J70" s="28">
        <f t="shared" si="14"/>
        <v>68667</v>
      </c>
    </row>
    <row r="71" spans="1:10" s="16" customFormat="1" ht="37.5">
      <c r="A71" s="20"/>
      <c r="B71" s="20"/>
      <c r="C71" s="30" t="s">
        <v>96</v>
      </c>
      <c r="D71" s="26" t="s">
        <v>6</v>
      </c>
      <c r="E71" s="27">
        <f aca="true" t="shared" si="15" ref="E71:J71">E46+E20</f>
        <v>240</v>
      </c>
      <c r="F71" s="27">
        <f t="shared" si="15"/>
        <v>60</v>
      </c>
      <c r="G71" s="27">
        <f t="shared" si="15"/>
        <v>300</v>
      </c>
      <c r="H71" s="28">
        <f t="shared" si="15"/>
        <v>54933.6</v>
      </c>
      <c r="I71" s="28">
        <f t="shared" si="15"/>
        <v>13733.4</v>
      </c>
      <c r="J71" s="28">
        <f t="shared" si="15"/>
        <v>68667</v>
      </c>
    </row>
    <row r="72" spans="1:10" s="16" customFormat="1" ht="37.5">
      <c r="A72" s="20"/>
      <c r="B72" s="20"/>
      <c r="C72" s="30" t="s">
        <v>97</v>
      </c>
      <c r="D72" s="26" t="s">
        <v>6</v>
      </c>
      <c r="E72" s="27">
        <f aca="true" t="shared" si="16" ref="E72:J72">E47+E21</f>
        <v>252</v>
      </c>
      <c r="F72" s="27">
        <f t="shared" si="16"/>
        <v>48</v>
      </c>
      <c r="G72" s="27">
        <f t="shared" si="16"/>
        <v>300</v>
      </c>
      <c r="H72" s="28">
        <f t="shared" si="16"/>
        <v>57680.28</v>
      </c>
      <c r="I72" s="28">
        <f t="shared" si="16"/>
        <v>10986.72</v>
      </c>
      <c r="J72" s="28">
        <f t="shared" si="16"/>
        <v>68667</v>
      </c>
    </row>
    <row r="73" spans="1:10" s="16" customFormat="1" ht="37.5">
      <c r="A73" s="20"/>
      <c r="B73" s="20"/>
      <c r="C73" s="30" t="s">
        <v>98</v>
      </c>
      <c r="D73" s="26" t="s">
        <v>6</v>
      </c>
      <c r="E73" s="27">
        <f aca="true" t="shared" si="17" ref="E73:J73">E48+E22</f>
        <v>240</v>
      </c>
      <c r="F73" s="27">
        <f t="shared" si="17"/>
        <v>60</v>
      </c>
      <c r="G73" s="27">
        <f t="shared" si="17"/>
        <v>300</v>
      </c>
      <c r="H73" s="28">
        <f t="shared" si="17"/>
        <v>54933.6</v>
      </c>
      <c r="I73" s="28">
        <f t="shared" si="17"/>
        <v>13733.4</v>
      </c>
      <c r="J73" s="28">
        <f t="shared" si="17"/>
        <v>68667</v>
      </c>
    </row>
    <row r="74" spans="1:10" s="16" customFormat="1" ht="37.5">
      <c r="A74" s="20"/>
      <c r="B74" s="20"/>
      <c r="C74" s="30" t="s">
        <v>99</v>
      </c>
      <c r="D74" s="26" t="s">
        <v>6</v>
      </c>
      <c r="E74" s="27">
        <f aca="true" t="shared" si="18" ref="E74:J74">E49+E23</f>
        <v>252</v>
      </c>
      <c r="F74" s="27">
        <f t="shared" si="18"/>
        <v>48</v>
      </c>
      <c r="G74" s="27">
        <f t="shared" si="18"/>
        <v>300</v>
      </c>
      <c r="H74" s="28">
        <f t="shared" si="18"/>
        <v>57680.28</v>
      </c>
      <c r="I74" s="28">
        <f t="shared" si="18"/>
        <v>10986.72</v>
      </c>
      <c r="J74" s="28">
        <f t="shared" si="18"/>
        <v>68667</v>
      </c>
    </row>
    <row r="75" spans="1:10" s="16" customFormat="1" ht="37.5">
      <c r="A75" s="20"/>
      <c r="B75" s="20"/>
      <c r="C75" s="30" t="s">
        <v>100</v>
      </c>
      <c r="D75" s="26" t="s">
        <v>6</v>
      </c>
      <c r="E75" s="27">
        <f aca="true" t="shared" si="19" ref="E75:J75">E50+E24</f>
        <v>240</v>
      </c>
      <c r="F75" s="27">
        <f t="shared" si="19"/>
        <v>60</v>
      </c>
      <c r="G75" s="27">
        <f t="shared" si="19"/>
        <v>300</v>
      </c>
      <c r="H75" s="28">
        <f t="shared" si="19"/>
        <v>54933.6</v>
      </c>
      <c r="I75" s="28">
        <f t="shared" si="19"/>
        <v>13733.4</v>
      </c>
      <c r="J75" s="28">
        <f t="shared" si="19"/>
        <v>68667</v>
      </c>
    </row>
    <row r="76" spans="1:10" s="16" customFormat="1" ht="37.5">
      <c r="A76" s="20"/>
      <c r="B76" s="20"/>
      <c r="C76" s="30" t="s">
        <v>101</v>
      </c>
      <c r="D76" s="26" t="s">
        <v>6</v>
      </c>
      <c r="E76" s="27">
        <f aca="true" t="shared" si="20" ref="E76:J76">E51+E25</f>
        <v>252</v>
      </c>
      <c r="F76" s="27">
        <f t="shared" si="20"/>
        <v>48</v>
      </c>
      <c r="G76" s="27">
        <f t="shared" si="20"/>
        <v>300</v>
      </c>
      <c r="H76" s="28">
        <f t="shared" si="20"/>
        <v>57680.28</v>
      </c>
      <c r="I76" s="28">
        <f t="shared" si="20"/>
        <v>10986.72</v>
      </c>
      <c r="J76" s="28">
        <f t="shared" si="20"/>
        <v>68667</v>
      </c>
    </row>
    <row r="77" spans="1:10" s="16" customFormat="1" ht="37.5">
      <c r="A77" s="20"/>
      <c r="B77" s="20"/>
      <c r="C77" s="30" t="s">
        <v>102</v>
      </c>
      <c r="D77" s="26" t="s">
        <v>6</v>
      </c>
      <c r="E77" s="27">
        <f aca="true" t="shared" si="21" ref="E77:J77">E52+E26</f>
        <v>240</v>
      </c>
      <c r="F77" s="27">
        <f t="shared" si="21"/>
        <v>60</v>
      </c>
      <c r="G77" s="27">
        <f t="shared" si="21"/>
        <v>300</v>
      </c>
      <c r="H77" s="28">
        <f t="shared" si="21"/>
        <v>54933.6</v>
      </c>
      <c r="I77" s="28">
        <f t="shared" si="21"/>
        <v>13733.4</v>
      </c>
      <c r="J77" s="28">
        <f t="shared" si="21"/>
        <v>68667</v>
      </c>
    </row>
    <row r="78" spans="1:10" s="16" customFormat="1" ht="37.5">
      <c r="A78" s="20"/>
      <c r="B78" s="20"/>
      <c r="C78" s="30" t="s">
        <v>103</v>
      </c>
      <c r="D78" s="26" t="s">
        <v>6</v>
      </c>
      <c r="E78" s="27">
        <f aca="true" t="shared" si="22" ref="E78:J78">E53+E27</f>
        <v>252</v>
      </c>
      <c r="F78" s="27">
        <f t="shared" si="22"/>
        <v>48</v>
      </c>
      <c r="G78" s="27">
        <f t="shared" si="22"/>
        <v>300</v>
      </c>
      <c r="H78" s="28">
        <f t="shared" si="22"/>
        <v>57680.28</v>
      </c>
      <c r="I78" s="28">
        <f t="shared" si="22"/>
        <v>10986.72</v>
      </c>
      <c r="J78" s="28">
        <f t="shared" si="22"/>
        <v>68667</v>
      </c>
    </row>
    <row r="79" spans="1:10" s="16" customFormat="1" ht="45" customHeight="1">
      <c r="A79" s="20"/>
      <c r="B79" s="20"/>
      <c r="C79" s="30" t="s">
        <v>104</v>
      </c>
      <c r="D79" s="26" t="s">
        <v>6</v>
      </c>
      <c r="E79" s="27">
        <f aca="true" t="shared" si="23" ref="E79:J79">E54+E28</f>
        <v>240</v>
      </c>
      <c r="F79" s="27">
        <f t="shared" si="23"/>
        <v>60</v>
      </c>
      <c r="G79" s="27">
        <f t="shared" si="23"/>
        <v>300</v>
      </c>
      <c r="H79" s="28">
        <f t="shared" si="23"/>
        <v>54933.6</v>
      </c>
      <c r="I79" s="28">
        <f t="shared" si="23"/>
        <v>13733.4</v>
      </c>
      <c r="J79" s="28">
        <f t="shared" si="23"/>
        <v>68667</v>
      </c>
    </row>
    <row r="80" spans="1:10" s="16" customFormat="1" ht="39" customHeight="1">
      <c r="A80" s="20"/>
      <c r="B80" s="20"/>
      <c r="C80" s="30" t="s">
        <v>105</v>
      </c>
      <c r="D80" s="26" t="s">
        <v>6</v>
      </c>
      <c r="E80" s="27">
        <f aca="true" t="shared" si="24" ref="E80:J80">E55+E29</f>
        <v>252</v>
      </c>
      <c r="F80" s="27">
        <f t="shared" si="24"/>
        <v>48</v>
      </c>
      <c r="G80" s="27">
        <f t="shared" si="24"/>
        <v>300</v>
      </c>
      <c r="H80" s="28">
        <f t="shared" si="24"/>
        <v>57680.28</v>
      </c>
      <c r="I80" s="28">
        <f t="shared" si="24"/>
        <v>10986.72</v>
      </c>
      <c r="J80" s="28">
        <f t="shared" si="24"/>
        <v>68667</v>
      </c>
    </row>
    <row r="81" spans="1:10" s="16" customFormat="1" ht="31.5">
      <c r="A81" s="20">
        <v>150138</v>
      </c>
      <c r="B81" s="20" t="s">
        <v>13</v>
      </c>
      <c r="C81" s="20"/>
      <c r="D81" s="20"/>
      <c r="E81" s="21"/>
      <c r="F81" s="21"/>
      <c r="G81" s="21"/>
      <c r="H81" s="22"/>
      <c r="I81" s="22"/>
      <c r="J81" s="22"/>
    </row>
    <row r="82" spans="1:10" s="16" customFormat="1" ht="23.25" customHeight="1">
      <c r="A82" s="20"/>
      <c r="B82" s="20"/>
      <c r="C82" s="70" t="s">
        <v>69</v>
      </c>
      <c r="D82" s="70" t="s">
        <v>11</v>
      </c>
      <c r="E82" s="21">
        <v>90</v>
      </c>
      <c r="F82" s="21">
        <v>0</v>
      </c>
      <c r="G82" s="21">
        <f>SUM(E82:F82)</f>
        <v>90</v>
      </c>
      <c r="H82" s="22">
        <f>46369685.7-H85</f>
        <v>6523955.1000000015</v>
      </c>
      <c r="I82" s="22">
        <v>0</v>
      </c>
      <c r="J82" s="22">
        <f>SUM(H82:I82)</f>
        <v>6523955.1000000015</v>
      </c>
    </row>
    <row r="83" spans="1:10" s="16" customFormat="1" ht="35.25" customHeight="1">
      <c r="A83" s="20"/>
      <c r="B83" s="20"/>
      <c r="C83" s="14" t="s">
        <v>86</v>
      </c>
      <c r="D83" s="20"/>
      <c r="E83" s="12">
        <f aca="true" t="shared" si="25" ref="E83:J83">E82</f>
        <v>90</v>
      </c>
      <c r="F83" s="12">
        <f t="shared" si="25"/>
        <v>0</v>
      </c>
      <c r="G83" s="12">
        <f t="shared" si="25"/>
        <v>90</v>
      </c>
      <c r="H83" s="13">
        <f t="shared" si="25"/>
        <v>6523955.1000000015</v>
      </c>
      <c r="I83" s="13">
        <f t="shared" si="25"/>
        <v>0</v>
      </c>
      <c r="J83" s="13">
        <f t="shared" si="25"/>
        <v>6523955.1000000015</v>
      </c>
    </row>
    <row r="84" spans="1:10" s="16" customFormat="1" ht="40.5" customHeight="1">
      <c r="A84" s="20"/>
      <c r="B84" s="20"/>
      <c r="C84" s="15" t="s">
        <v>89</v>
      </c>
      <c r="D84" s="20"/>
      <c r="E84" s="27" t="s">
        <v>83</v>
      </c>
      <c r="F84" s="27" t="s">
        <v>83</v>
      </c>
      <c r="G84" s="27" t="s">
        <v>83</v>
      </c>
      <c r="H84" s="28">
        <v>48457045.26</v>
      </c>
      <c r="I84" s="28">
        <v>11653692.96</v>
      </c>
      <c r="J84" s="28">
        <f>SUM(H84:I84)</f>
        <v>60110738.22</v>
      </c>
    </row>
    <row r="85" spans="1:10" s="16" customFormat="1" ht="23.25" customHeight="1">
      <c r="A85" s="20"/>
      <c r="B85" s="20"/>
      <c r="C85" s="20" t="s">
        <v>69</v>
      </c>
      <c r="D85" s="20" t="s">
        <v>11</v>
      </c>
      <c r="E85" s="27">
        <v>540</v>
      </c>
      <c r="F85" s="27">
        <v>132</v>
      </c>
      <c r="G85" s="27">
        <v>672</v>
      </c>
      <c r="H85" s="28">
        <v>39845730.6</v>
      </c>
      <c r="I85" s="28">
        <v>9740067.48</v>
      </c>
      <c r="J85" s="28">
        <v>49585798.08</v>
      </c>
    </row>
    <row r="86" spans="1:10" s="16" customFormat="1" ht="33.75" customHeight="1">
      <c r="A86" s="94" t="s">
        <v>87</v>
      </c>
      <c r="B86" s="117"/>
      <c r="C86" s="95"/>
      <c r="D86" s="20"/>
      <c r="E86" s="32"/>
      <c r="F86" s="32"/>
      <c r="G86" s="32"/>
      <c r="H86" s="33">
        <f>H83+H84</f>
        <v>54981000.36</v>
      </c>
      <c r="I86" s="33">
        <f>I83+I84</f>
        <v>11653692.96</v>
      </c>
      <c r="J86" s="33">
        <f>J83+J84</f>
        <v>66634693.32</v>
      </c>
    </row>
    <row r="87" spans="1:10" s="16" customFormat="1" ht="27" customHeight="1">
      <c r="A87" s="20"/>
      <c r="B87" s="20"/>
      <c r="C87" s="20" t="s">
        <v>69</v>
      </c>
      <c r="D87" s="20" t="s">
        <v>11</v>
      </c>
      <c r="E87" s="21">
        <f aca="true" t="shared" si="26" ref="E87:J87">E85+E82</f>
        <v>630</v>
      </c>
      <c r="F87" s="21">
        <f t="shared" si="26"/>
        <v>132</v>
      </c>
      <c r="G87" s="21">
        <f t="shared" si="26"/>
        <v>762</v>
      </c>
      <c r="H87" s="34">
        <f t="shared" si="26"/>
        <v>46369685.7</v>
      </c>
      <c r="I87" s="34">
        <f t="shared" si="26"/>
        <v>9740067.48</v>
      </c>
      <c r="J87" s="34">
        <f t="shared" si="26"/>
        <v>56109753.18</v>
      </c>
    </row>
    <row r="88" spans="1:10" s="16" customFormat="1" ht="47.25">
      <c r="A88" s="70">
        <v>150139</v>
      </c>
      <c r="B88" s="20" t="s">
        <v>140</v>
      </c>
      <c r="C88" s="20" t="s">
        <v>88</v>
      </c>
      <c r="D88" s="20"/>
      <c r="E88" s="21"/>
      <c r="F88" s="21"/>
      <c r="G88" s="21"/>
      <c r="H88" s="22"/>
      <c r="I88" s="22"/>
      <c r="J88" s="22"/>
    </row>
    <row r="89" spans="1:10" s="16" customFormat="1" ht="23.25" customHeight="1">
      <c r="A89" s="20"/>
      <c r="B89" s="20"/>
      <c r="C89" s="20" t="s">
        <v>69</v>
      </c>
      <c r="D89" s="20" t="s">
        <v>11</v>
      </c>
      <c r="E89" s="21">
        <v>-90</v>
      </c>
      <c r="F89" s="21">
        <v>0</v>
      </c>
      <c r="G89" s="21">
        <f>SUM(E89:F89)</f>
        <v>-90</v>
      </c>
      <c r="H89" s="22">
        <f>26238090.06-H92</f>
        <v>-6523955.1000000015</v>
      </c>
      <c r="I89" s="22">
        <f>17709213.6-I92</f>
        <v>0</v>
      </c>
      <c r="J89" s="22">
        <f>SUM(H89:I89)</f>
        <v>-6523955.1000000015</v>
      </c>
    </row>
    <row r="90" spans="1:10" s="16" customFormat="1" ht="35.25" customHeight="1">
      <c r="A90" s="20"/>
      <c r="B90" s="20"/>
      <c r="C90" s="65" t="s">
        <v>137</v>
      </c>
      <c r="D90" s="20"/>
      <c r="E90" s="21">
        <f>E89</f>
        <v>-90</v>
      </c>
      <c r="F90" s="21">
        <f>F89</f>
        <v>0</v>
      </c>
      <c r="G90" s="21">
        <f>G89</f>
        <v>-90</v>
      </c>
      <c r="H90" s="35">
        <f>H89</f>
        <v>-6523955.1000000015</v>
      </c>
      <c r="I90" s="36">
        <v>0</v>
      </c>
      <c r="J90" s="35">
        <f>J89</f>
        <v>-6523955.1000000015</v>
      </c>
    </row>
    <row r="91" spans="1:10" s="16" customFormat="1" ht="47.25">
      <c r="A91" s="20"/>
      <c r="B91" s="20"/>
      <c r="C91" s="66" t="s">
        <v>138</v>
      </c>
      <c r="D91" s="20"/>
      <c r="E91" s="21" t="s">
        <v>83</v>
      </c>
      <c r="F91" s="21" t="s">
        <v>83</v>
      </c>
      <c r="G91" s="21" t="s">
        <v>83</v>
      </c>
      <c r="H91" s="22">
        <v>39459734.34</v>
      </c>
      <c r="I91" s="22">
        <v>21536464.56</v>
      </c>
      <c r="J91" s="22">
        <v>60996198.9</v>
      </c>
    </row>
    <row r="92" spans="1:10" s="16" customFormat="1" ht="24" customHeight="1">
      <c r="A92" s="20"/>
      <c r="B92" s="20"/>
      <c r="C92" s="20" t="s">
        <v>69</v>
      </c>
      <c r="D92" s="20" t="s">
        <v>11</v>
      </c>
      <c r="E92" s="21">
        <v>444</v>
      </c>
      <c r="F92" s="21">
        <v>240</v>
      </c>
      <c r="G92" s="21">
        <v>684</v>
      </c>
      <c r="H92" s="22">
        <v>32762045.16</v>
      </c>
      <c r="I92" s="22">
        <v>17709213.6</v>
      </c>
      <c r="J92" s="22">
        <v>50471258.76</v>
      </c>
    </row>
    <row r="93" spans="1:10" s="16" customFormat="1" ht="35.25" customHeight="1">
      <c r="A93" s="94" t="s">
        <v>139</v>
      </c>
      <c r="B93" s="117"/>
      <c r="C93" s="95"/>
      <c r="D93" s="20"/>
      <c r="E93" s="12"/>
      <c r="F93" s="12"/>
      <c r="G93" s="12"/>
      <c r="H93" s="13">
        <f>H91+H90</f>
        <v>32935779.240000002</v>
      </c>
      <c r="I93" s="13">
        <f>I91+I90</f>
        <v>21536464.56</v>
      </c>
      <c r="J93" s="13">
        <f>J91+J90</f>
        <v>54472243.8</v>
      </c>
    </row>
    <row r="94" spans="1:10" s="16" customFormat="1" ht="21.75" customHeight="1">
      <c r="A94" s="20"/>
      <c r="B94" s="20"/>
      <c r="C94" s="20" t="s">
        <v>69</v>
      </c>
      <c r="D94" s="20"/>
      <c r="E94" s="21">
        <f aca="true" t="shared" si="27" ref="E94:J94">E92+E89</f>
        <v>354</v>
      </c>
      <c r="F94" s="21">
        <f t="shared" si="27"/>
        <v>240</v>
      </c>
      <c r="G94" s="21">
        <f t="shared" si="27"/>
        <v>594</v>
      </c>
      <c r="H94" s="22">
        <f t="shared" si="27"/>
        <v>26238090.06</v>
      </c>
      <c r="I94" s="22">
        <f t="shared" si="27"/>
        <v>17709213.6</v>
      </c>
      <c r="J94" s="22">
        <f t="shared" si="27"/>
        <v>43947303.66</v>
      </c>
    </row>
    <row r="95" spans="1:10" s="16" customFormat="1" ht="27" customHeight="1">
      <c r="A95" s="118" t="s">
        <v>90</v>
      </c>
      <c r="B95" s="119"/>
      <c r="C95" s="119"/>
      <c r="D95" s="120"/>
      <c r="E95" s="37" t="s">
        <v>83</v>
      </c>
      <c r="F95" s="37" t="s">
        <v>83</v>
      </c>
      <c r="G95" s="37" t="s">
        <v>83</v>
      </c>
      <c r="H95" s="22">
        <v>2276612215.05</v>
      </c>
      <c r="I95" s="22">
        <v>449765169.6</v>
      </c>
      <c r="J95" s="22">
        <v>2726377384.65</v>
      </c>
    </row>
    <row r="96" spans="1:10" s="16" customFormat="1" ht="31.5" customHeight="1">
      <c r="A96" s="94" t="s">
        <v>91</v>
      </c>
      <c r="B96" s="117"/>
      <c r="C96" s="117"/>
      <c r="D96" s="95"/>
      <c r="E96" s="43"/>
      <c r="F96" s="43"/>
      <c r="G96" s="43"/>
      <c r="H96" s="44">
        <f>H95+H90+H83+H30</f>
        <v>2277625636.65</v>
      </c>
      <c r="I96" s="44">
        <f>I95+I90+I83+I30</f>
        <v>449987628</v>
      </c>
      <c r="J96" s="44">
        <f>J95+J90+J83+J30</f>
        <v>2727613264.65</v>
      </c>
    </row>
  </sheetData>
  <sheetProtection/>
  <mergeCells count="15">
    <mergeCell ref="A93:C93"/>
    <mergeCell ref="A95:D95"/>
    <mergeCell ref="B30:C30"/>
    <mergeCell ref="B31:C31"/>
    <mergeCell ref="A56:C56"/>
    <mergeCell ref="A96:D96"/>
    <mergeCell ref="A86:C86"/>
    <mergeCell ref="E3:G3"/>
    <mergeCell ref="H3:J3"/>
    <mergeCell ref="I1:J1"/>
    <mergeCell ref="A2:J2"/>
    <mergeCell ref="A3:A4"/>
    <mergeCell ref="B3:B4"/>
    <mergeCell ref="C3:C4"/>
    <mergeCell ref="D3:D4"/>
  </mergeCells>
  <printOptions horizontalCentered="1"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</dc:creator>
  <cp:keywords/>
  <dc:description/>
  <cp:lastModifiedBy>Томеева М.Т.</cp:lastModifiedBy>
  <cp:lastPrinted>2018-08-09T13:42:21Z</cp:lastPrinted>
  <dcterms:created xsi:type="dcterms:W3CDTF">2018-01-22T11:16:10Z</dcterms:created>
  <dcterms:modified xsi:type="dcterms:W3CDTF">2018-09-21T06:50:05Z</dcterms:modified>
  <cp:category/>
  <cp:version/>
  <cp:contentType/>
  <cp:contentStatus/>
</cp:coreProperties>
</file>